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\\VMV3FS1.joho.local\プロファイル$\i0003782\デスクトップ\"/>
    </mc:Choice>
  </mc:AlternateContent>
  <xr:revisionPtr revIDLastSave="0" documentId="13_ncr:1_{18E86058-7DE3-45CD-A398-20EA79429D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試算" sheetId="2" r:id="rId1"/>
  </sheets>
  <definedNames>
    <definedName name="_xlnm.Print_Area" localSheetId="0">試算!$A$1:$H$59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4" i="2" l="1"/>
  <c r="N44" i="2"/>
  <c r="M44" i="2"/>
  <c r="L44" i="2"/>
  <c r="K44" i="2"/>
  <c r="O43" i="2"/>
  <c r="N43" i="2"/>
  <c r="M43" i="2"/>
  <c r="L43" i="2" s="1"/>
  <c r="K43" i="2"/>
  <c r="R42" i="2"/>
  <c r="O42" i="2"/>
  <c r="N42" i="2"/>
  <c r="M42" i="2"/>
  <c r="L42" i="2"/>
  <c r="K42" i="2"/>
  <c r="R41" i="2"/>
  <c r="O41" i="2"/>
  <c r="N41" i="2"/>
  <c r="M41" i="2"/>
  <c r="K41" i="2"/>
  <c r="R40" i="2"/>
  <c r="O40" i="2"/>
  <c r="N40" i="2"/>
  <c r="M40" i="2"/>
  <c r="L40" i="2" s="1"/>
  <c r="K40" i="2"/>
  <c r="R39" i="2"/>
  <c r="O39" i="2"/>
  <c r="N39" i="2"/>
  <c r="M39" i="2"/>
  <c r="L39" i="2" s="1"/>
  <c r="K39" i="2"/>
  <c r="E34" i="2"/>
  <c r="Q33" i="2"/>
  <c r="P33" i="2"/>
  <c r="O33" i="2"/>
  <c r="M33" i="2"/>
  <c r="L33" i="2"/>
  <c r="K33" i="2"/>
  <c r="R33" i="2" s="1"/>
  <c r="Q32" i="2"/>
  <c r="P32" i="2"/>
  <c r="O32" i="2"/>
  <c r="M32" i="2"/>
  <c r="L32" i="2"/>
  <c r="K32" i="2"/>
  <c r="Q31" i="2"/>
  <c r="P31" i="2"/>
  <c r="O31" i="2"/>
  <c r="M31" i="2"/>
  <c r="L31" i="2"/>
  <c r="K31" i="2"/>
  <c r="Q30" i="2"/>
  <c r="P30" i="2"/>
  <c r="P34" i="2" s="1"/>
  <c r="L6" i="2" s="1"/>
  <c r="E29" i="2" s="1"/>
  <c r="O30" i="2"/>
  <c r="M30" i="2"/>
  <c r="L30" i="2"/>
  <c r="K30" i="2"/>
  <c r="Q29" i="2"/>
  <c r="P29" i="2"/>
  <c r="O29" i="2"/>
  <c r="M29" i="2"/>
  <c r="L29" i="2"/>
  <c r="K29" i="2"/>
  <c r="Q28" i="2"/>
  <c r="P28" i="2"/>
  <c r="O28" i="2"/>
  <c r="M28" i="2"/>
  <c r="L28" i="2"/>
  <c r="K28" i="2"/>
  <c r="N28" i="2" s="1"/>
  <c r="S22" i="2"/>
  <c r="R22" i="2"/>
  <c r="S21" i="2"/>
  <c r="R21" i="2"/>
  <c r="S20" i="2"/>
  <c r="R20" i="2"/>
  <c r="S19" i="2"/>
  <c r="R19" i="2"/>
  <c r="S18" i="2"/>
  <c r="R18" i="2"/>
  <c r="S17" i="2"/>
  <c r="R17" i="2"/>
  <c r="M11" i="2"/>
  <c r="F34" i="2" s="1"/>
  <c r="L11" i="2"/>
  <c r="K11" i="2"/>
  <c r="D34" i="2" s="1"/>
  <c r="N30" i="2" l="1"/>
  <c r="N33" i="2"/>
  <c r="K45" i="2"/>
  <c r="N31" i="2"/>
  <c r="R30" i="2"/>
  <c r="R32" i="2"/>
  <c r="L41" i="2"/>
  <c r="Q34" i="2"/>
  <c r="M6" i="2" s="1"/>
  <c r="F29" i="2" s="1"/>
  <c r="L34" i="2"/>
  <c r="M34" i="2"/>
  <c r="O34" i="2"/>
  <c r="M5" i="2" s="1"/>
  <c r="F28" i="2" s="1"/>
  <c r="N32" i="2"/>
  <c r="R29" i="2"/>
  <c r="L45" i="2"/>
  <c r="J52" i="2" s="1"/>
  <c r="L50" i="2" s="1"/>
  <c r="J50" i="2"/>
  <c r="M8" i="2"/>
  <c r="F31" i="2" s="1"/>
  <c r="N29" i="2"/>
  <c r="N34" i="2" s="1"/>
  <c r="K6" i="2"/>
  <c r="D29" i="2" s="1"/>
  <c r="R31" i="2"/>
  <c r="K34" i="2"/>
  <c r="R28" i="2"/>
  <c r="R34" i="2" l="1"/>
  <c r="M50" i="2" s="1"/>
  <c r="M52" i="2" s="1"/>
  <c r="M7" i="2" s="1"/>
  <c r="F30" i="2" s="1"/>
  <c r="M10" i="2" s="1"/>
  <c r="L52" i="2"/>
  <c r="L51" i="2"/>
  <c r="L5" i="2"/>
  <c r="E28" i="2" s="1"/>
  <c r="K5" i="2"/>
  <c r="D28" i="2" s="1"/>
  <c r="C36" i="2" l="1"/>
  <c r="K7" i="2"/>
  <c r="D30" i="2" s="1"/>
  <c r="K10" i="2" s="1"/>
  <c r="L7" i="2"/>
  <c r="E30" i="2" s="1"/>
  <c r="L10" i="2" s="1"/>
  <c r="K8" i="2"/>
  <c r="D31" i="2" s="1"/>
  <c r="L8" i="2"/>
  <c r="E31" i="2" s="1"/>
  <c r="M9" i="2"/>
  <c r="F32" i="2" s="1"/>
  <c r="F33" i="2"/>
  <c r="E33" i="2" l="1"/>
  <c r="L9" i="2"/>
  <c r="E32" i="2" s="1"/>
  <c r="K9" i="2"/>
  <c r="D32" i="2" s="1"/>
  <c r="D33" i="2"/>
  <c r="G37" i="2" l="1"/>
  <c r="G38" i="2"/>
  <c r="C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合田康祐</author>
  </authors>
  <commentList>
    <comment ref="K5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所得割(医療分)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=</t>
        </r>
        <r>
          <rPr>
            <sz val="9"/>
            <color indexed="81"/>
            <rFont val="MS P ゴシック"/>
            <family val="3"/>
            <charset val="128"/>
          </rPr>
          <t>所得割算定基礎額(医,支)*税率(小数点以下切り捨て)</t>
        </r>
      </text>
    </comment>
    <comment ref="L5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所得割(後期高齢者支援金分)
=所得割算定基礎額(医,支)*税率(小数点以下切り捨て)</t>
        </r>
      </text>
    </comment>
    <comment ref="M5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所得割(介護分)
=所得割算定基礎額(介)*税率(小数点以下切り捨て)</t>
        </r>
      </text>
    </comment>
    <comment ref="K6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資産割(医療分)
=資産割算定基礎額(医,支)*税率(小数点以下切り捨て)</t>
        </r>
      </text>
    </comment>
    <comment ref="L6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資産割(後期高齢者支援金分)
=資産割算定基礎額(医,支)*税率(小数点以下切り捨て)</t>
        </r>
      </text>
    </comment>
    <comment ref="M6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資産割(介護分)
=資産割算定基礎額(介)*税率(小数点以下切り捨て)</t>
        </r>
      </text>
    </comment>
    <comment ref="K7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均等割(医療分)
=税率*小学生以上の被保険者数*法定軽減判定乗率+税率*未就学児の被保険者数*法定軽減判定乗率*未就学児軽減乗率</t>
        </r>
      </text>
    </comment>
    <comment ref="L7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均等割(後期高齢者支援金分)
=税率*小学生以上の被保険者数*法定軽減判定乗率+税率*未就学児の被保険者数*法定軽減判定乗率*未就学児軽減乗率</t>
        </r>
      </text>
    </comment>
    <comment ref="M7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均等割(介護分)
=税率*40歳～64歳の被保険者数*法定軽減判定乗率</t>
        </r>
      </text>
    </comment>
    <comment ref="K8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平等割(医療分)
=もし被保険者数が0より大きければ,税率*法定軽減乗率,それ以外なら0</t>
        </r>
      </text>
    </comment>
    <comment ref="L8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>平等割(後期高齢者支援金分)
=もし被保険者数が0より大きければ,税率*法定軽減乗率,それ以外なら0</t>
        </r>
      </text>
    </comment>
    <comment ref="M8" authorId="0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>平等割(介護分)
=もし40歳～64歳の被保険者数が0より大きければ,税率*法定軽減乗率,それ以外なら0</t>
        </r>
      </text>
    </comment>
    <comment ref="K9" authorId="0" shapeId="0" xr:uid="{00000000-0006-0000-0000-00000D000000}">
      <text>
        <r>
          <rPr>
            <sz val="9"/>
            <color indexed="81"/>
            <rFont val="MS P ゴシック"/>
            <family val="3"/>
            <charset val="128"/>
          </rPr>
          <t>合計(医療分)
=(所得割+資産割+均等割+平等割)-合計額</t>
        </r>
      </text>
    </comment>
    <comment ref="L9" authorId="0" shapeId="0" xr:uid="{00000000-0006-0000-0000-00000E000000}">
      <text>
        <r>
          <rPr>
            <sz val="9"/>
            <color indexed="81"/>
            <rFont val="MS P ゴシック"/>
            <family val="3"/>
            <charset val="128"/>
          </rPr>
          <t>合計(後期高齢者支援金分)
=(所得割+資産割+均等割+平等割)-合計額</t>
        </r>
      </text>
    </comment>
    <comment ref="M9" authorId="0" shapeId="0" xr:uid="{00000000-0006-0000-0000-00000F000000}">
      <text>
        <r>
          <rPr>
            <sz val="9"/>
            <color indexed="81"/>
            <rFont val="MS P ゴシック"/>
            <family val="3"/>
            <charset val="128"/>
          </rPr>
          <t>合計(介護分)
=(所得割+資産割+均等割+平等割)-合計額</t>
        </r>
      </text>
    </comment>
    <comment ref="K10" authorId="0" shapeId="0" xr:uid="{00000000-0006-0000-0000-000010000000}">
      <text>
        <r>
          <rPr>
            <sz val="9"/>
            <color indexed="81"/>
            <rFont val="MS P ゴシック"/>
            <family val="3"/>
            <charset val="128"/>
          </rPr>
          <t>合計(医療分)
=もし(所得割+資産割+均等割+平等割)が課税限度額以下なら,(所得割+資産割+均等割+平等割(100円未満切り捨て)),それ以外なら課税限度額</t>
        </r>
      </text>
    </comment>
    <comment ref="L10" authorId="0" shapeId="0" xr:uid="{00000000-0006-0000-0000-000011000000}">
      <text>
        <r>
          <rPr>
            <sz val="9"/>
            <color indexed="81"/>
            <rFont val="MS P ゴシック"/>
            <family val="3"/>
            <charset val="128"/>
          </rPr>
          <t>合計(後期高齢者支援金分)
=もし(所得割+資産割+均等割+平等割)が課税限度額以下なら,(所得割+資産割+均等割+平等割(100円未満切り捨て)),それ以外なら課税限度額</t>
        </r>
      </text>
    </comment>
    <comment ref="M10" authorId="0" shapeId="0" xr:uid="{00000000-0006-0000-0000-000012000000}">
      <text>
        <r>
          <rPr>
            <sz val="9"/>
            <color indexed="81"/>
            <rFont val="MS P ゴシック"/>
            <family val="3"/>
            <charset val="128"/>
          </rPr>
          <t>合計(介護分)
=もし(所得割+資産割+均等割+平等割)が課税限度額以下なら,(所得割+資産割+均等割+平等割(100円未満切り捨て)),それ以外なら課税限度額</t>
        </r>
      </text>
    </comment>
    <comment ref="R17" authorId="0" shapeId="0" xr:uid="{00000000-0006-0000-0000-000013000000}">
      <text>
        <r>
          <rPr>
            <sz val="9"/>
            <color indexed="81"/>
            <rFont val="MS P ゴシック"/>
            <family val="3"/>
            <charset val="128"/>
          </rPr>
          <t xml:space="preserve">年金所得金額(65歳未満の場合)
=(もし公的年金等収入額が130万円以下なら公的年金等収入額-60万円,(もし公的年金等収入額が410万円以下なら公的年金等収入額*75%-27.5万円(もし公的年金等収入額が770万円以下なら公的年金等収入額*85%-68.5万円,(もし公的年金等収入額が1,000万円以下なら公的年金等収入額*95%-145.5万円,(もし公的年金等収入額が1,000万円超なら公的年金等収入額-195.5万円)))))と0を比較しての最大値を表示
</t>
        </r>
      </text>
    </comment>
    <comment ref="S17" authorId="0" shapeId="0" xr:uid="{00000000-0006-0000-0000-000014000000}">
      <text>
        <r>
          <rPr>
            <sz val="9"/>
            <color indexed="81"/>
            <rFont val="MS P ゴシック"/>
            <family val="3"/>
            <charset val="128"/>
          </rPr>
          <t>年金所得金額(65歳以上の場合)
=(もし公的年金等収入額が330万円以下なら公的年金等収入額-110万円,(もし公的年金等収入額が410万円以下なら公的年金等収入額*75%-27.5万円(もし公的年金等収入額が770万円以下なら公的年金等収入額*85%-68.5万円,(もし公的年金等収入額が1,000万円以下なら公的年金等収入額*95%-145.5万円,(もし公的年金等収入額が1,000万円超なら公的年金等収入額-195.5万円)))))と0を比較しての最大値を表示</t>
        </r>
      </text>
    </comment>
    <comment ref="K28" authorId="0" shapeId="0" xr:uid="{00000000-0006-0000-0000-000015000000}">
      <text>
        <r>
          <rPr>
            <sz val="9"/>
            <color indexed="81"/>
            <rFont val="MS P ゴシック"/>
            <family val="3"/>
            <charset val="128"/>
          </rPr>
          <t>給与所得金額式
=もし給与収入A円以下なら給与所得a円,(もし給与収入B円以下なら給与所得b円,(もし給与収入C円以下なら給与所得c円,…)の繰り返し
給与収入のラインや給与所得算定式が変更になれば適宜修正。
K28～K33まで給与収入の参照セル以外は同じ式。</t>
        </r>
      </text>
    </comment>
    <comment ref="L28" authorId="0" shapeId="0" xr:uid="{00000000-0006-0000-0000-000016000000}">
      <text>
        <r>
          <rPr>
            <sz val="9"/>
            <color indexed="81"/>
            <rFont val="MS P ゴシック"/>
            <family val="3"/>
            <charset val="128"/>
          </rPr>
          <t>年金雑所得金額（世帯主）式
=もし世帯主年齢区分が"40歳～64歳"または"加入しない(65歳未満)"ならば,【表2】65歳未満,もし世帯主年齢区分が"65歳～74歳"または"加入しない(65歳以上)"ならば,【表2】65歳以上,それ以外は0
擬主の場合も所得が必要になるため、加入の有無に関わらず年金雑所得がある場合は【表2】から参照する。</t>
        </r>
      </text>
    </comment>
    <comment ref="N28" authorId="0" shapeId="0" xr:uid="{00000000-0006-0000-0000-000017000000}">
      <text>
        <r>
          <rPr>
            <sz val="9"/>
            <color indexed="81"/>
            <rFont val="MS P ゴシック"/>
            <family val="3"/>
            <charset val="128"/>
          </rPr>
          <t>所得割算定基礎額(医+支)
=もし世帯主年齢区分が"加入しない(65歳未満)"または"加入しない(65歳以上)"なら0,それ以外なら所得合計額-43万円と0を比較し最大値を表示する</t>
        </r>
      </text>
    </comment>
    <comment ref="O28" authorId="0" shapeId="0" xr:uid="{00000000-0006-0000-0000-000018000000}">
      <text>
        <r>
          <rPr>
            <sz val="9"/>
            <color indexed="81"/>
            <rFont val="MS P ゴシック"/>
            <family val="3"/>
            <charset val="128"/>
          </rPr>
          <t>所得割算定基礎額(介)
=もし年齢区分が"40歳～64歳"なら所得割算定基礎額(医+支)を参照,それ以外なら0
O28～O33は同じ式</t>
        </r>
      </text>
    </comment>
    <comment ref="P28" authorId="0" shapeId="0" xr:uid="{00000000-0006-0000-0000-000019000000}">
      <text>
        <r>
          <rPr>
            <sz val="9"/>
            <color indexed="81"/>
            <rFont val="MS P ゴシック"/>
            <family val="3"/>
            <charset val="128"/>
          </rPr>
          <t>資産割算定基礎額(医+支)
=もし世帯主年齢区分が"加入しない(65歳未満)"または"加入しない(65歳以上)"なら0,それ以外ならをG18を表示する</t>
        </r>
      </text>
    </comment>
    <comment ref="Q28" authorId="0" shapeId="0" xr:uid="{00000000-0006-0000-0000-00001A000000}">
      <text>
        <r>
          <rPr>
            <sz val="9"/>
            <color indexed="81"/>
            <rFont val="MS P ゴシック"/>
            <family val="3"/>
            <charset val="128"/>
          </rPr>
          <t>資産割算定基礎額(介)
=もし年齢区分が"40歳～64歳"なら資産割算定基礎額(医+支)を参照,それ以外なら0</t>
        </r>
      </text>
    </comment>
    <comment ref="R28" authorId="0" shapeId="0" xr:uid="{00000000-0006-0000-0000-00001B000000}">
      <text>
        <r>
          <rPr>
            <sz val="9"/>
            <color indexed="81"/>
            <rFont val="MS P ゴシック"/>
            <family val="3"/>
            <charset val="128"/>
          </rPr>
          <t>軽減判定用所得
=給与所得+その他の所得+(もし65歳以上なら,(年金所得-15万円か0の最大値),それ以外なら年金所得)
65歳以上の場合、年金所得を-15万円する</t>
        </r>
      </text>
    </comment>
    <comment ref="L29" authorId="0" shapeId="0" xr:uid="{00000000-0006-0000-0000-00001C000000}">
      <text>
        <r>
          <rPr>
            <sz val="9"/>
            <color indexed="81"/>
            <rFont val="MS P ゴシック"/>
            <family val="3"/>
            <charset val="128"/>
          </rPr>
          <t>年金雑所得金額式
=もし年齢区分が"40歳～64歳"なら【表2】65歳未満,もし年齢区分が"65歳～74歳"なら【表2】65歳以上,それ以外なら0
L29～L33は同様の式</t>
        </r>
      </text>
    </comment>
    <comment ref="N29" authorId="0" shapeId="0" xr:uid="{00000000-0006-0000-0000-00001D000000}">
      <text>
        <r>
          <rPr>
            <b/>
            <sz val="9"/>
            <color indexed="81"/>
            <rFont val="MS P ゴシック"/>
            <family val="3"/>
            <charset val="128"/>
          </rPr>
          <t>合田康祐:</t>
        </r>
        <r>
          <rPr>
            <sz val="9"/>
            <color indexed="81"/>
            <rFont val="MS P ゴシック"/>
            <family val="3"/>
            <charset val="128"/>
          </rPr>
          <t xml:space="preserve">
=IF(C19="",0,MAX(SUM(K29:M29)-430000,0))</t>
        </r>
      </text>
    </comment>
    <comment ref="K39" authorId="0" shapeId="0" xr:uid="{00000000-0006-0000-0000-00001E000000}">
      <text>
        <r>
          <rPr>
            <sz val="9"/>
            <color indexed="81"/>
            <rFont val="MS P ゴシック"/>
            <family val="3"/>
            <charset val="128"/>
          </rPr>
          <t>被保険者数(世帯主)
=もし世帯主年齢区分が"加入しない(65歳未満)"または"加入しない(65歳以上)"または""ならば0,それ以外なら1</t>
        </r>
      </text>
    </comment>
    <comment ref="L39" authorId="0" shapeId="0" xr:uid="{00000000-0006-0000-0000-00001F000000}">
      <text>
        <r>
          <rPr>
            <sz val="9"/>
            <color indexed="81"/>
            <rFont val="MS P ゴシック"/>
            <family val="3"/>
            <charset val="128"/>
          </rPr>
          <t>給与所得者などの数
=もし右のグレー網掛け部分の合計が1以上1ならば1,それ以外なら0</t>
        </r>
      </text>
    </comment>
    <comment ref="M39" authorId="0" shapeId="0" xr:uid="{00000000-0006-0000-0000-000020000000}">
      <text>
        <r>
          <rPr>
            <sz val="9"/>
            <color indexed="81"/>
            <rFont val="MS P ゴシック"/>
            <family val="3"/>
            <charset val="128"/>
          </rPr>
          <t>給与収入55万円超
=もし給与収入が55万円以上なら1,それ以外なら0</t>
        </r>
      </text>
    </comment>
    <comment ref="N39" authorId="0" shapeId="0" xr:uid="{00000000-0006-0000-0000-000021000000}">
      <text>
        <r>
          <rPr>
            <sz val="9"/>
            <color indexed="81"/>
            <rFont val="MS P ゴシック"/>
            <family val="3"/>
            <charset val="128"/>
          </rPr>
          <t>公的年金等収入60万円超(65歳未満)
=もし(年齢区分が="40歳～64歳"または"加入しない(65歳未満)")かつ,公的年金収入が60万円以上なら1,それ以外なら0</t>
        </r>
      </text>
    </comment>
    <comment ref="O39" authorId="0" shapeId="0" xr:uid="{00000000-0006-0000-0000-000022000000}">
      <text>
        <r>
          <rPr>
            <sz val="9"/>
            <color indexed="81"/>
            <rFont val="MS P ゴシック"/>
            <family val="3"/>
            <charset val="128"/>
          </rPr>
          <t>公的年金等収入110万円超(65歳以上)
=もし(年齢区分が="65歳～74歳"または"加入しない(65歳以上)")かつ,公的年金収入が110万円以上なら1,それ以外なら0)</t>
        </r>
      </text>
    </comment>
    <comment ref="K40" authorId="0" shapeId="0" xr:uid="{00000000-0006-0000-0000-000023000000}">
      <text>
        <r>
          <rPr>
            <sz val="9"/>
            <color indexed="81"/>
            <rFont val="MS P ゴシック"/>
            <family val="3"/>
            <charset val="128"/>
          </rPr>
          <t>被保険者
年齢区分に入力があれば1</t>
        </r>
      </text>
    </comment>
    <comment ref="M40" authorId="0" shapeId="0" xr:uid="{00000000-0006-0000-0000-000024000000}">
      <text>
        <r>
          <rPr>
            <sz val="9"/>
            <color indexed="81"/>
            <rFont val="MS P ゴシック"/>
            <family val="3"/>
            <charset val="128"/>
          </rPr>
          <t>給与収入55万円超
=もし年齢区分が""なら0(もし給与収入が55万円以上なら1,それ以外なら0)
M40～M45は同様の式</t>
        </r>
      </text>
    </comment>
    <comment ref="N40" authorId="0" shapeId="0" xr:uid="{00000000-0006-0000-0000-000025000000}">
      <text>
        <r>
          <rPr>
            <sz val="9"/>
            <color indexed="81"/>
            <rFont val="MS P ゴシック"/>
            <family val="3"/>
            <charset val="128"/>
          </rPr>
          <t>公的年金等収入60万円超(65歳未満)
=もし年齢区分が""なら0,(もし(年齢区分が="40歳～64歳"または"加入しない(65歳未満)")かつ,公的年金収入が60万円以上なら1,それ以外なら0)</t>
        </r>
      </text>
    </comment>
    <comment ref="O40" authorId="0" shapeId="0" xr:uid="{00000000-0006-0000-0000-000026000000}">
      <text>
        <r>
          <rPr>
            <sz val="9"/>
            <color indexed="81"/>
            <rFont val="MS P ゴシック"/>
            <family val="3"/>
            <charset val="128"/>
          </rPr>
          <t>公的年金等収入110万円超(65歳以上)
=もし年齢区分が""なら0,(もし(年齢区分が="65歳～74歳"または"加入しない(65歳以上)")かつ,公的年金収入が110万円以上なら1,それ以外なら0)</t>
        </r>
      </text>
    </comment>
    <comment ref="L50" authorId="0" shapeId="0" xr:uid="{00000000-0006-0000-0000-000027000000}">
      <text>
        <r>
          <rPr>
            <sz val="9"/>
            <color indexed="81"/>
            <rFont val="MS P ゴシック"/>
            <family val="3"/>
            <charset val="128"/>
          </rPr>
          <t>7割軽減判定ライン
=43万円+10万円*(給与所得者などの数-1と0の最大値)
基準ラインが変更になれば、適宜修正</t>
        </r>
      </text>
    </comment>
    <comment ref="L51" authorId="0" shapeId="0" xr:uid="{00000000-0006-0000-0000-000028000000}">
      <text>
        <r>
          <rPr>
            <sz val="9"/>
            <color indexed="81"/>
            <rFont val="MS P ゴシック"/>
            <family val="3"/>
            <charset val="128"/>
          </rPr>
          <t>5割軽減判定ライン
=43万円+29.5万円*被保険者数+10万円*(給与所得者などの数-1と0の最大値)
基準ラインが変更になれば、適宜修正</t>
        </r>
      </text>
    </comment>
    <comment ref="L52" authorId="0" shapeId="0" xr:uid="{00000000-0006-0000-0000-000029000000}">
      <text>
        <r>
          <rPr>
            <sz val="9"/>
            <color indexed="81"/>
            <rFont val="MS P ゴシック"/>
            <family val="3"/>
            <charset val="128"/>
          </rPr>
          <t>2割軽減判定ライン
=43万円+54.5万円*被保険者数+10万円*(給与所得者などの数-1と0の最大値)
基準ラインが変更になれば、適宜修正</t>
        </r>
      </text>
    </comment>
  </commentList>
</comments>
</file>

<file path=xl/sharedStrings.xml><?xml version="1.0" encoding="utf-8"?>
<sst xmlns="http://schemas.openxmlformats.org/spreadsheetml/2006/main" count="144" uniqueCount="100">
  <si>
    <t>加入者3</t>
    <rPh sb="0" eb="3">
      <t>カニュウシャ</t>
    </rPh>
    <phoneticPr fontId="1"/>
  </si>
  <si>
    <t>世帯主</t>
    <rPh sb="0" eb="3">
      <t>セタイヌシ</t>
    </rPh>
    <phoneticPr fontId="1"/>
  </si>
  <si>
    <t>令和6年度国民健康保険税年額の試算シート</t>
    <rPh sb="0" eb="2">
      <t>レイワ</t>
    </rPh>
    <rPh sb="3" eb="5">
      <t>ネンド</t>
    </rPh>
    <rPh sb="5" eb="12">
      <t>コクミンケンコウホケンゼイ</t>
    </rPh>
    <rPh sb="12" eb="14">
      <t>ネンガク</t>
    </rPh>
    <rPh sb="15" eb="17">
      <t>シサン</t>
    </rPh>
    <phoneticPr fontId="1"/>
  </si>
  <si>
    <t>【試算結果】</t>
    <rPh sb="1" eb="5">
      <t>シサンケッカ</t>
    </rPh>
    <phoneticPr fontId="1"/>
  </si>
  <si>
    <t>下の入力表に次のとおり入力してください。</t>
    <rPh sb="0" eb="1">
      <t>シタ</t>
    </rPh>
    <rPh sb="2" eb="4">
      <t>ニュウリョク</t>
    </rPh>
    <rPh sb="4" eb="5">
      <t>ヒョウ</t>
    </rPh>
    <rPh sb="6" eb="7">
      <t>ツギ</t>
    </rPh>
    <rPh sb="11" eb="13">
      <t>ニュウリョク</t>
    </rPh>
    <phoneticPr fontId="1"/>
  </si>
  <si>
    <t>その他の所得金額</t>
    <rPh sb="2" eb="3">
      <t>タ</t>
    </rPh>
    <rPh sb="4" eb="8">
      <t>ショトクキンガク</t>
    </rPh>
    <phoneticPr fontId="1"/>
  </si>
  <si>
    <t>医療分</t>
    <rPh sb="0" eb="3">
      <t>イリョウブン</t>
    </rPh>
    <phoneticPr fontId="1"/>
  </si>
  <si>
    <t>資産割額</t>
    <rPh sb="0" eb="4">
      <t>シサンワリガク</t>
    </rPh>
    <phoneticPr fontId="1"/>
  </si>
  <si>
    <t>後期高齢者支援金分</t>
    <rPh sb="0" eb="5">
      <t>コウキコウレイシャ</t>
    </rPh>
    <rPh sb="5" eb="9">
      <t>シエンキンブン</t>
    </rPh>
    <phoneticPr fontId="1"/>
  </si>
  <si>
    <t>所得割額</t>
    <rPh sb="0" eb="4">
      <t>ショトクワリガク</t>
    </rPh>
    <phoneticPr fontId="1"/>
  </si>
  <si>
    <t>【表4】被保険者数及び給与所得者区分</t>
    <rPh sb="4" eb="9">
      <t>ヒホケンシャスウ</t>
    </rPh>
    <rPh sb="9" eb="10">
      <t>オヨ</t>
    </rPh>
    <rPh sb="11" eb="16">
      <t>キュウヨショトクシャ</t>
    </rPh>
    <rPh sb="16" eb="18">
      <t>クブン</t>
    </rPh>
    <phoneticPr fontId="1"/>
  </si>
  <si>
    <t>給与所得者などの数</t>
    <rPh sb="0" eb="5">
      <t>キュウヨショトクシャ</t>
    </rPh>
    <rPh sb="8" eb="9">
      <t>カズ</t>
    </rPh>
    <phoneticPr fontId="1"/>
  </si>
  <si>
    <t>介護分</t>
    <rPh sb="0" eb="3">
      <t>カイゴブン</t>
    </rPh>
    <phoneticPr fontId="1"/>
  </si>
  <si>
    <t>・年度途中に加入者が40歳に到達し、介護保険第2号被保険者となる場合</t>
    <rPh sb="1" eb="5">
      <t>ネンドトチュウ</t>
    </rPh>
    <rPh sb="6" eb="9">
      <t>カニュウシャ</t>
    </rPh>
    <rPh sb="12" eb="13">
      <t>サイ</t>
    </rPh>
    <rPh sb="14" eb="16">
      <t>トウタツ</t>
    </rPh>
    <rPh sb="18" eb="20">
      <t>カイゴ</t>
    </rPh>
    <rPh sb="20" eb="22">
      <t>ホケン</t>
    </rPh>
    <rPh sb="22" eb="23">
      <t>ダイ</t>
    </rPh>
    <rPh sb="24" eb="25">
      <t>ゴウ</t>
    </rPh>
    <rPh sb="25" eb="29">
      <t>ヒホケンシャ</t>
    </rPh>
    <rPh sb="32" eb="34">
      <t>バアイ</t>
    </rPh>
    <phoneticPr fontId="1"/>
  </si>
  <si>
    <t>　(障害年金、遺族年金の場合は「公的年金収入金額」の入力は不要です。)</t>
    <rPh sb="2" eb="6">
      <t>ショウガイネンキン</t>
    </rPh>
    <rPh sb="7" eb="11">
      <t>イゾクネンキン</t>
    </rPh>
    <rPh sb="12" eb="14">
      <t>バアイ</t>
    </rPh>
    <rPh sb="26" eb="28">
      <t>ニュウリョク</t>
    </rPh>
    <rPh sb="29" eb="31">
      <t>フヨウ</t>
    </rPh>
    <phoneticPr fontId="1"/>
  </si>
  <si>
    <t>概算の保険税の年額(4月～翌年3月)と、1ヵ月あたりの金額を試算します。</t>
    <rPh sb="0" eb="2">
      <t>ガイサン</t>
    </rPh>
    <rPh sb="3" eb="6">
      <t>ホケンゼイ</t>
    </rPh>
    <rPh sb="7" eb="9">
      <t>ネンガク</t>
    </rPh>
    <rPh sb="11" eb="12">
      <t>ガツ</t>
    </rPh>
    <rPh sb="13" eb="15">
      <t>ヨクネン</t>
    </rPh>
    <rPh sb="16" eb="17">
      <t>ガツ</t>
    </rPh>
    <rPh sb="22" eb="23">
      <t>ゲツ</t>
    </rPh>
    <rPh sb="27" eb="29">
      <t>キンガク</t>
    </rPh>
    <rPh sb="30" eb="32">
      <t>シサン</t>
    </rPh>
    <phoneticPr fontId="1"/>
  </si>
  <si>
    <t>加入者2</t>
    <rPh sb="0" eb="3">
      <t>カニュウシャ</t>
    </rPh>
    <phoneticPr fontId="1"/>
  </si>
  <si>
    <r>
      <t>※1か月あたりの金額のため、</t>
    </r>
    <r>
      <rPr>
        <b/>
        <u/>
        <sz val="11"/>
        <color rgb="FFFF0000"/>
        <rFont val="游ゴシック"/>
        <family val="3"/>
        <charset val="128"/>
      </rPr>
      <t>実際の期別納付金額とは異なります。</t>
    </r>
    <rPh sb="3" eb="4">
      <t>ゲツ</t>
    </rPh>
    <rPh sb="8" eb="10">
      <t>キンガク</t>
    </rPh>
    <rPh sb="14" eb="16">
      <t>ジッサイ</t>
    </rPh>
    <rPh sb="17" eb="23">
      <t>キベツノウフキンガク</t>
    </rPh>
    <rPh sb="25" eb="26">
      <t>コト</t>
    </rPh>
    <phoneticPr fontId="1"/>
  </si>
  <si>
    <t>均等割額</t>
    <rPh sb="0" eb="4">
      <t>キントウワリガク</t>
    </rPh>
    <phoneticPr fontId="1"/>
  </si>
  <si>
    <t>　世帯主が加入されない場合は、「加入しない(65歳未満)」「加入しない(65歳以上)」を選択してください。</t>
    <rPh sb="39" eb="41">
      <t>イジョウ</t>
    </rPh>
    <rPh sb="44" eb="46">
      <t>センタク</t>
    </rPh>
    <phoneticPr fontId="1"/>
  </si>
  <si>
    <t>平等割額</t>
    <rPh sb="0" eb="4">
      <t>ビョウドウワリガク</t>
    </rPh>
    <phoneticPr fontId="1"/>
  </si>
  <si>
    <t>年齢区分選択肢</t>
    <rPh sb="0" eb="4">
      <t>ネンレイクブン</t>
    </rPh>
    <rPh sb="4" eb="7">
      <t>センタクシ</t>
    </rPh>
    <phoneticPr fontId="1"/>
  </si>
  <si>
    <t>【表2】年金雑所得金額（年金以外の所得が1千万円以下の場合のみ）</t>
    <rPh sb="4" eb="9">
      <t>ネンキンザツショトク</t>
    </rPh>
    <rPh sb="9" eb="11">
      <t>キンガク</t>
    </rPh>
    <rPh sb="12" eb="16">
      <t>ネンキンイガイ</t>
    </rPh>
    <rPh sb="17" eb="19">
      <t>ショトク</t>
    </rPh>
    <rPh sb="21" eb="26">
      <t>センマンエンイカ</t>
    </rPh>
    <rPh sb="27" eb="29">
      <t>バアイ</t>
    </rPh>
    <phoneticPr fontId="1"/>
  </si>
  <si>
    <t>端数処理等調整額</t>
    <rPh sb="0" eb="2">
      <t>ハスウ</t>
    </rPh>
    <rPh sb="2" eb="4">
      <t>ショリ</t>
    </rPh>
    <rPh sb="4" eb="5">
      <t>ナド</t>
    </rPh>
    <rPh sb="5" eb="7">
      <t>チョウセイ</t>
    </rPh>
    <rPh sb="7" eb="8">
      <t>ガク</t>
    </rPh>
    <phoneticPr fontId="1"/>
  </si>
  <si>
    <t>　※世帯主については、加入されない場合でも必ず入力してください。</t>
    <rPh sb="2" eb="5">
      <t>セタイヌシ</t>
    </rPh>
    <rPh sb="11" eb="13">
      <t>カニュウ</t>
    </rPh>
    <rPh sb="17" eb="19">
      <t>バアイ</t>
    </rPh>
    <rPh sb="21" eb="22">
      <t>カナラ</t>
    </rPh>
    <rPh sb="23" eb="25">
      <t>ニュウリョク</t>
    </rPh>
    <phoneticPr fontId="1"/>
  </si>
  <si>
    <t>未就学児</t>
    <rPh sb="0" eb="4">
      <t>ミシュウガクジ</t>
    </rPh>
    <phoneticPr fontId="1"/>
  </si>
  <si>
    <t>合計額</t>
    <rPh sb="0" eb="3">
      <t>ゴウケイガク</t>
    </rPh>
    <phoneticPr fontId="1"/>
  </si>
  <si>
    <t>(課税限度額)</t>
    <rPh sb="1" eb="6">
      <t>カゼイゲンドガク</t>
    </rPh>
    <phoneticPr fontId="1"/>
  </si>
  <si>
    <t>その他の所得金額</t>
    <rPh sb="2" eb="3">
      <t>タ</t>
    </rPh>
    <rPh sb="4" eb="6">
      <t>ショトク</t>
    </rPh>
    <rPh sb="6" eb="8">
      <t>キンガク</t>
    </rPh>
    <phoneticPr fontId="1"/>
  </si>
  <si>
    <t>資産割算定基礎額(介)</t>
    <rPh sb="0" eb="2">
      <t>シサン</t>
    </rPh>
    <rPh sb="2" eb="3">
      <t>ワリ</t>
    </rPh>
    <rPh sb="3" eb="5">
      <t>サンテイ</t>
    </rPh>
    <rPh sb="5" eb="7">
      <t>キソ</t>
    </rPh>
    <rPh sb="7" eb="8">
      <t>ガク</t>
    </rPh>
    <rPh sb="9" eb="10">
      <t>カイ</t>
    </rPh>
    <phoneticPr fontId="1"/>
  </si>
  <si>
    <t>【入力表】</t>
    <rPh sb="1" eb="4">
      <t>ニュウリョクヒョウ</t>
    </rPh>
    <phoneticPr fontId="1"/>
  </si>
  <si>
    <t>【表1】税率（税率が変わった場合、数値を変更する）</t>
    <rPh sb="1" eb="2">
      <t>ヒョウ</t>
    </rPh>
    <rPh sb="4" eb="6">
      <t>ゼイリツ</t>
    </rPh>
    <rPh sb="7" eb="9">
      <t>ゼイリツ</t>
    </rPh>
    <rPh sb="10" eb="11">
      <t>カ</t>
    </rPh>
    <rPh sb="14" eb="16">
      <t>バアイ</t>
    </rPh>
    <rPh sb="17" eb="19">
      <t>スウチ</t>
    </rPh>
    <rPh sb="20" eb="22">
      <t>ヘンコウ</t>
    </rPh>
    <phoneticPr fontId="1"/>
  </si>
  <si>
    <t>加入しない(65歳以上)</t>
    <rPh sb="0" eb="2">
      <t>カニュウ</t>
    </rPh>
    <rPh sb="8" eb="11">
      <t>サイイジョウ</t>
    </rPh>
    <phoneticPr fontId="1"/>
  </si>
  <si>
    <t>65歳未満</t>
    <rPh sb="2" eb="5">
      <t>サイミマン</t>
    </rPh>
    <phoneticPr fontId="1"/>
  </si>
  <si>
    <t>65歳以上</t>
    <rPh sb="2" eb="5">
      <t>サイイジョウ</t>
    </rPh>
    <phoneticPr fontId="1"/>
  </si>
  <si>
    <t>固定資産税額</t>
    <rPh sb="0" eb="6">
      <t>コテイシサンゼイガク</t>
    </rPh>
    <phoneticPr fontId="1"/>
  </si>
  <si>
    <t>給与収入金額</t>
    <rPh sb="0" eb="4">
      <t>キュウヨシュウニュウ</t>
    </rPh>
    <rPh sb="4" eb="6">
      <t>キンガク</t>
    </rPh>
    <phoneticPr fontId="1"/>
  </si>
  <si>
    <t>公的年金収入金額</t>
    <rPh sb="0" eb="6">
      <t>コウテキネンキンシュウニュウ</t>
    </rPh>
    <rPh sb="6" eb="8">
      <t>キンガク</t>
    </rPh>
    <phoneticPr fontId="1"/>
  </si>
  <si>
    <t>・倒産・解雇や雇い止めなどにより離職された方(非自発的失業)に対する軽減措置に該当する場合</t>
    <rPh sb="1" eb="3">
      <t>トウサン</t>
    </rPh>
    <rPh sb="7" eb="8">
      <t>ヤト</t>
    </rPh>
    <rPh sb="9" eb="10">
      <t>ド</t>
    </rPh>
    <rPh sb="16" eb="18">
      <t>リショク</t>
    </rPh>
    <rPh sb="21" eb="22">
      <t>カタ</t>
    </rPh>
    <rPh sb="23" eb="29">
      <t>ヒジハツテキシツギョウ</t>
    </rPh>
    <rPh sb="31" eb="32">
      <t>タイ</t>
    </rPh>
    <rPh sb="34" eb="38">
      <t>ケイゲンソチ</t>
    </rPh>
    <rPh sb="39" eb="41">
      <t>ガイトウ</t>
    </rPh>
    <rPh sb="43" eb="45">
      <t>バアイ</t>
    </rPh>
    <phoneticPr fontId="1"/>
  </si>
  <si>
    <t>加入しない(65歳未満)</t>
    <rPh sb="0" eb="2">
      <t>カニュウ</t>
    </rPh>
    <rPh sb="8" eb="11">
      <t>サイミマン</t>
    </rPh>
    <phoneticPr fontId="1"/>
  </si>
  <si>
    <t>小学生～39歳</t>
    <rPh sb="0" eb="3">
      <t>ショウガクセイ</t>
    </rPh>
    <rPh sb="6" eb="7">
      <t>サイ</t>
    </rPh>
    <phoneticPr fontId="1"/>
  </si>
  <si>
    <t>40歳～64歳</t>
    <rPh sb="2" eb="3">
      <t>サイ</t>
    </rPh>
    <rPh sb="6" eb="7">
      <t>サイ</t>
    </rPh>
    <phoneticPr fontId="1"/>
  </si>
  <si>
    <t>加入者1</t>
    <rPh sb="0" eb="3">
      <t>カニュウシャ</t>
    </rPh>
    <phoneticPr fontId="1"/>
  </si>
  <si>
    <t>65歳～74歳</t>
    <rPh sb="2" eb="3">
      <t>サイ</t>
    </rPh>
    <rPh sb="6" eb="7">
      <t>サイ</t>
    </rPh>
    <phoneticPr fontId="1"/>
  </si>
  <si>
    <t>加入者4</t>
    <rPh sb="0" eb="3">
      <t>カニュウシャ</t>
    </rPh>
    <phoneticPr fontId="1"/>
  </si>
  <si>
    <t>試算年税額</t>
    <rPh sb="0" eb="2">
      <t>シサン</t>
    </rPh>
    <rPh sb="2" eb="5">
      <t>ネンゼイガク</t>
    </rPh>
    <phoneticPr fontId="1"/>
  </si>
  <si>
    <t>加入者5</t>
    <rPh sb="0" eb="3">
      <t>カニュウシャ</t>
    </rPh>
    <phoneticPr fontId="1"/>
  </si>
  <si>
    <t>【表3】所得金額</t>
    <rPh sb="4" eb="8">
      <t>ショトクキンガク</t>
    </rPh>
    <phoneticPr fontId="1"/>
  </si>
  <si>
    <t>給与所得金額</t>
    <rPh sb="0" eb="6">
      <t>キュウヨショトクキンガク</t>
    </rPh>
    <phoneticPr fontId="1"/>
  </si>
  <si>
    <t>年金雑所得金額</t>
    <rPh sb="0" eb="5">
      <t>ネンキンザツショトク</t>
    </rPh>
    <rPh sb="5" eb="7">
      <t>キンガク</t>
    </rPh>
    <phoneticPr fontId="1"/>
  </si>
  <si>
    <t>所得割算定基礎額(医,支)</t>
    <rPh sb="0" eb="7">
      <t>ショトクワリサンテイキソ</t>
    </rPh>
    <rPh sb="7" eb="8">
      <t>ガク</t>
    </rPh>
    <rPh sb="9" eb="10">
      <t>イ</t>
    </rPh>
    <rPh sb="11" eb="12">
      <t>シ</t>
    </rPh>
    <phoneticPr fontId="1"/>
  </si>
  <si>
    <t>【表5】加入者年齢区分人数</t>
    <rPh sb="4" eb="7">
      <t>カニュウシャ</t>
    </rPh>
    <rPh sb="7" eb="9">
      <t>ネンレイ</t>
    </rPh>
    <rPh sb="9" eb="11">
      <t>クブン</t>
    </rPh>
    <rPh sb="11" eb="13">
      <t>ニンズウ</t>
    </rPh>
    <phoneticPr fontId="1"/>
  </si>
  <si>
    <t>1か月あたりの金額</t>
    <rPh sb="2" eb="3">
      <t>ゲツ</t>
    </rPh>
    <rPh sb="7" eb="9">
      <t>キンガク</t>
    </rPh>
    <phoneticPr fontId="1"/>
  </si>
  <si>
    <t>所得割算定基礎額(介)</t>
    <rPh sb="0" eb="7">
      <t>ショトクワリサンテイキソ</t>
    </rPh>
    <rPh sb="7" eb="8">
      <t>ガク</t>
    </rPh>
    <rPh sb="9" eb="10">
      <t>カイ</t>
    </rPh>
    <phoneticPr fontId="1"/>
  </si>
  <si>
    <t>資産割算定基礎額(医,支)</t>
    <rPh sb="0" eb="2">
      <t>シサン</t>
    </rPh>
    <rPh sb="2" eb="3">
      <t>ワリ</t>
    </rPh>
    <rPh sb="3" eb="5">
      <t>サンテイ</t>
    </rPh>
    <rPh sb="5" eb="7">
      <t>キソ</t>
    </rPh>
    <rPh sb="7" eb="8">
      <t>ガク</t>
    </rPh>
    <rPh sb="9" eb="10">
      <t>イ</t>
    </rPh>
    <rPh sb="11" eb="12">
      <t>シ</t>
    </rPh>
    <phoneticPr fontId="1"/>
  </si>
  <si>
    <t>軽減判定用所得</t>
    <rPh sb="0" eb="7">
      <t>ケイゲンハンテイヨウショトク</t>
    </rPh>
    <phoneticPr fontId="1"/>
  </si>
  <si>
    <t>給与収入55万円超</t>
    <rPh sb="0" eb="4">
      <t>キュウヨシュウニュウ</t>
    </rPh>
    <rPh sb="6" eb="8">
      <t>マンエン</t>
    </rPh>
    <phoneticPr fontId="1"/>
  </si>
  <si>
    <t>合計</t>
    <rPh sb="0" eb="2">
      <t>ゴウケイ</t>
    </rPh>
    <phoneticPr fontId="1"/>
  </si>
  <si>
    <t>被保険者数</t>
    <rPh sb="0" eb="5">
      <t>ヒホケンシャスウ</t>
    </rPh>
    <phoneticPr fontId="1"/>
  </si>
  <si>
    <t>公的年金等収入60万円超</t>
    <rPh sb="0" eb="7">
      <t>コウテキネンキントウシュウニュウ</t>
    </rPh>
    <rPh sb="9" eb="11">
      <t>マンエン</t>
    </rPh>
    <phoneticPr fontId="1"/>
  </si>
  <si>
    <t>公的年金等収入110万円超</t>
    <rPh sb="0" eb="7">
      <t>コウテキネンキントウシュウニュウ</t>
    </rPh>
    <rPh sb="10" eb="12">
      <t>マンエン</t>
    </rPh>
    <phoneticPr fontId="1"/>
  </si>
  <si>
    <t>年齢区分別人数</t>
    <rPh sb="0" eb="5">
      <t>ネンレイクブンベツ</t>
    </rPh>
    <rPh sb="5" eb="7">
      <t>ニンズウ</t>
    </rPh>
    <phoneticPr fontId="1"/>
  </si>
  <si>
    <t>【注意事項】</t>
    <rPh sb="1" eb="5">
      <t>チュウイジコウ</t>
    </rPh>
    <phoneticPr fontId="1"/>
  </si>
  <si>
    <r>
      <t>※上記結果はあくまで試算であり、</t>
    </r>
    <r>
      <rPr>
        <b/>
        <u/>
        <sz val="11"/>
        <color rgb="FFFF0000"/>
        <rFont val="游ゴシック"/>
        <family val="3"/>
        <charset val="128"/>
      </rPr>
      <t>実際の保険税額と異なる場合があります。</t>
    </r>
    <rPh sb="1" eb="5">
      <t>ジョウキケッカ</t>
    </rPh>
    <rPh sb="10" eb="12">
      <t>シサン</t>
    </rPh>
    <rPh sb="16" eb="18">
      <t>ジッサイ</t>
    </rPh>
    <rPh sb="19" eb="21">
      <t>ホケン</t>
    </rPh>
    <rPh sb="21" eb="23">
      <t>ゼイガク</t>
    </rPh>
    <rPh sb="24" eb="25">
      <t>コト</t>
    </rPh>
    <rPh sb="27" eb="29">
      <t>バアイ</t>
    </rPh>
    <phoneticPr fontId="1"/>
  </si>
  <si>
    <t>※次の場合の保険税額計算には対応していません。</t>
    <rPh sb="1" eb="2">
      <t>ツギ</t>
    </rPh>
    <rPh sb="3" eb="5">
      <t>バアイ</t>
    </rPh>
    <rPh sb="6" eb="12">
      <t>ホケンゼイガクケイサン</t>
    </rPh>
    <rPh sb="14" eb="16">
      <t>タイオウ</t>
    </rPh>
    <phoneticPr fontId="1"/>
  </si>
  <si>
    <t>・加入者全員の加入期間が1年間(12ヵ月)ではない場合</t>
    <rPh sb="1" eb="6">
      <t>カニュウシャゼンイン</t>
    </rPh>
    <rPh sb="7" eb="11">
      <t>カニュウキカン</t>
    </rPh>
    <rPh sb="13" eb="15">
      <t>ネンカン</t>
    </rPh>
    <rPh sb="19" eb="20">
      <t>ゲツ</t>
    </rPh>
    <rPh sb="25" eb="27">
      <t>バアイ</t>
    </rPh>
    <phoneticPr fontId="1"/>
  </si>
  <si>
    <t>・年度途中に加入者の所得や人数が変わる場合</t>
    <rPh sb="1" eb="5">
      <t>ネンドトチュウ</t>
    </rPh>
    <rPh sb="6" eb="9">
      <t>カニュウシャ</t>
    </rPh>
    <rPh sb="10" eb="12">
      <t>ショトク</t>
    </rPh>
    <rPh sb="13" eb="15">
      <t>ニンズウ</t>
    </rPh>
    <rPh sb="16" eb="17">
      <t>カ</t>
    </rPh>
    <rPh sb="19" eb="21">
      <t>バアイ</t>
    </rPh>
    <phoneticPr fontId="1"/>
  </si>
  <si>
    <t>軽減表示</t>
    <rPh sb="0" eb="2">
      <t>ケイゲン</t>
    </rPh>
    <rPh sb="2" eb="4">
      <t>ヒョウジ</t>
    </rPh>
    <phoneticPr fontId="1"/>
  </si>
  <si>
    <t>・年度途中に加入者が65歳に到達し、介護保険第1号被保険者となる場合</t>
    <rPh sb="1" eb="5">
      <t>ネンドトチュウ</t>
    </rPh>
    <rPh sb="6" eb="9">
      <t>カニュウシャ</t>
    </rPh>
    <rPh sb="12" eb="13">
      <t>サイ</t>
    </rPh>
    <rPh sb="14" eb="16">
      <t>トウタツ</t>
    </rPh>
    <rPh sb="18" eb="23">
      <t>カイゴホケンダイ</t>
    </rPh>
    <rPh sb="24" eb="29">
      <t>ゴウヒホケンシャ</t>
    </rPh>
    <rPh sb="32" eb="34">
      <t>バアイ</t>
    </rPh>
    <phoneticPr fontId="1"/>
  </si>
  <si>
    <t>【表6】法定軽減判定</t>
    <rPh sb="4" eb="6">
      <t>ホウテイ</t>
    </rPh>
    <rPh sb="6" eb="8">
      <t>ケイゲン</t>
    </rPh>
    <rPh sb="8" eb="10">
      <t>ハンテイ</t>
    </rPh>
    <phoneticPr fontId="1"/>
  </si>
  <si>
    <t>法定軽減</t>
    <rPh sb="0" eb="4">
      <t>ホウテイケイゲン</t>
    </rPh>
    <phoneticPr fontId="1"/>
  </si>
  <si>
    <t>未就学軽減</t>
    <rPh sb="0" eb="5">
      <t>ミシュウガクケイゲン</t>
    </rPh>
    <phoneticPr fontId="1"/>
  </si>
  <si>
    <t>・世帯主又は加入者に年金収入があり、その方が令和6年1月2日より後に65歳の誕生日を迎えた場合</t>
    <rPh sb="1" eb="5">
      <t>セタイヌシマタ</t>
    </rPh>
    <rPh sb="6" eb="9">
      <t>カニュウシャ</t>
    </rPh>
    <rPh sb="10" eb="14">
      <t>ネンキンシュウニュウ</t>
    </rPh>
    <rPh sb="20" eb="21">
      <t>カタ</t>
    </rPh>
    <rPh sb="22" eb="24">
      <t>レイワ</t>
    </rPh>
    <rPh sb="25" eb="26">
      <t>ネン</t>
    </rPh>
    <rPh sb="27" eb="28">
      <t>ガツ</t>
    </rPh>
    <rPh sb="29" eb="30">
      <t>カ</t>
    </rPh>
    <rPh sb="32" eb="33">
      <t>アト</t>
    </rPh>
    <rPh sb="36" eb="37">
      <t>サイ</t>
    </rPh>
    <rPh sb="38" eb="41">
      <t>タンジョウビ</t>
    </rPh>
    <rPh sb="42" eb="43">
      <t>ムカ</t>
    </rPh>
    <rPh sb="45" eb="47">
      <t>バアイ</t>
    </rPh>
    <phoneticPr fontId="1"/>
  </si>
  <si>
    <t>・年度途中に加入者が75歳に到達し、後期高齢者医療制度の加入者となる場合</t>
    <rPh sb="1" eb="5">
      <t>ネンドトチュウ</t>
    </rPh>
    <rPh sb="6" eb="9">
      <t>カニュウシャ</t>
    </rPh>
    <rPh sb="12" eb="13">
      <t>サイ</t>
    </rPh>
    <rPh sb="14" eb="16">
      <t>トウタツ</t>
    </rPh>
    <rPh sb="18" eb="27">
      <t>コウキコウレイシャイリョウセイド</t>
    </rPh>
    <rPh sb="28" eb="31">
      <t>カニュウシャ</t>
    </rPh>
    <rPh sb="34" eb="36">
      <t>バアイ</t>
    </rPh>
    <phoneticPr fontId="1"/>
  </si>
  <si>
    <t>軽減率</t>
    <rPh sb="0" eb="3">
      <t>ケイゲンリツ</t>
    </rPh>
    <phoneticPr fontId="1"/>
  </si>
  <si>
    <t>軽減判定ライン</t>
    <rPh sb="0" eb="4">
      <t>ケイゲンハンテイ</t>
    </rPh>
    <phoneticPr fontId="1"/>
  </si>
  <si>
    <t>・年度途中に加入者が後期高齢者医療制度に移行し、残った国民健康保険の加入者が1人となる場合</t>
    <rPh sb="1" eb="5">
      <t>ネンドトチュウ</t>
    </rPh>
    <rPh sb="6" eb="9">
      <t>カニュウシャ</t>
    </rPh>
    <rPh sb="10" eb="19">
      <t>コウキコウレイシャイリョウセイド</t>
    </rPh>
    <rPh sb="20" eb="22">
      <t>イコウ</t>
    </rPh>
    <rPh sb="24" eb="25">
      <t>ノコ</t>
    </rPh>
    <rPh sb="27" eb="33">
      <t>コクミンケンコウホケン</t>
    </rPh>
    <rPh sb="34" eb="37">
      <t>カニュウシャ</t>
    </rPh>
    <rPh sb="39" eb="40">
      <t>ヒト</t>
    </rPh>
    <rPh sb="43" eb="45">
      <t>バアイ</t>
    </rPh>
    <phoneticPr fontId="1"/>
  </si>
  <si>
    <t>軽減判定</t>
    <rPh sb="0" eb="4">
      <t>ケイゲンハンテイ</t>
    </rPh>
    <phoneticPr fontId="1"/>
  </si>
  <si>
    <t>※均等割と平等割は、7割軽減を適用しています。</t>
    <rPh sb="1" eb="4">
      <t>キントウワリ</t>
    </rPh>
    <rPh sb="5" eb="8">
      <t>ビョウドウワリ</t>
    </rPh>
    <rPh sb="11" eb="14">
      <t>ワリケイゲン</t>
    </rPh>
    <rPh sb="15" eb="17">
      <t>テキヨウ</t>
    </rPh>
    <phoneticPr fontId="1"/>
  </si>
  <si>
    <t>※未就学児の均等割は、さらに5割軽減しています。</t>
    <rPh sb="1" eb="5">
      <t>ミシュウガクジ</t>
    </rPh>
    <rPh sb="6" eb="9">
      <t>キントウワリ</t>
    </rPh>
    <rPh sb="15" eb="18">
      <t>ワリケイゲン</t>
    </rPh>
    <phoneticPr fontId="1"/>
  </si>
  <si>
    <t>7割軽減</t>
    <rPh sb="1" eb="4">
      <t>ワリケイゲン</t>
    </rPh>
    <phoneticPr fontId="1"/>
  </si>
  <si>
    <t>※均等割と平等割は、5割軽減を適用しています。</t>
    <rPh sb="1" eb="4">
      <t>キントウワリ</t>
    </rPh>
    <rPh sb="5" eb="8">
      <t>ビョウドウワリ</t>
    </rPh>
    <rPh sb="11" eb="14">
      <t>ワリケイゲン</t>
    </rPh>
    <rPh sb="15" eb="17">
      <t>テキヨウ</t>
    </rPh>
    <phoneticPr fontId="1"/>
  </si>
  <si>
    <t>※未就学児の均等割は、5割軽減しています。</t>
    <rPh sb="1" eb="5">
      <t>ミシュウガクジ</t>
    </rPh>
    <rPh sb="6" eb="9">
      <t>キントウワリ</t>
    </rPh>
    <rPh sb="12" eb="15">
      <t>ワリケイゲン</t>
    </rPh>
    <phoneticPr fontId="1"/>
  </si>
  <si>
    <t>・世帯内に特定同一世帯所属者がいる場合</t>
    <rPh sb="1" eb="4">
      <t>セタイナイ</t>
    </rPh>
    <rPh sb="5" eb="11">
      <t>トクテイドウイツセタイ</t>
    </rPh>
    <rPh sb="11" eb="14">
      <t>ショゾクシャ</t>
    </rPh>
    <rPh sb="17" eb="19">
      <t>バアイ</t>
    </rPh>
    <phoneticPr fontId="1"/>
  </si>
  <si>
    <t>5割軽減</t>
    <rPh sb="1" eb="4">
      <t>ワリケイゲン</t>
    </rPh>
    <phoneticPr fontId="1"/>
  </si>
  <si>
    <t>軽減乗数</t>
    <rPh sb="0" eb="4">
      <t>ケイゲンジョウスウ</t>
    </rPh>
    <phoneticPr fontId="1"/>
  </si>
  <si>
    <t>※均等割と平等割は、2割軽減を適用しています。</t>
    <rPh sb="1" eb="4">
      <t>キントウワリ</t>
    </rPh>
    <rPh sb="5" eb="8">
      <t>ビョウドウワリ</t>
    </rPh>
    <rPh sb="11" eb="14">
      <t>ワリケイゲン</t>
    </rPh>
    <rPh sb="15" eb="17">
      <t>テキヨウ</t>
    </rPh>
    <phoneticPr fontId="1"/>
  </si>
  <si>
    <t>2割軽減</t>
    <rPh sb="1" eb="4">
      <t>ワリケイゲン</t>
    </rPh>
    <phoneticPr fontId="1"/>
  </si>
  <si>
    <t>・公的年金収入がある方で、年金以外の所得が1千万円以上ある場合</t>
    <rPh sb="1" eb="7">
      <t>コウテキネンキンシュウニュウ</t>
    </rPh>
    <rPh sb="10" eb="11">
      <t>カタ</t>
    </rPh>
    <rPh sb="13" eb="17">
      <t>ネンキンイガイ</t>
    </rPh>
    <rPh sb="18" eb="20">
      <t>ショトク</t>
    </rPh>
    <rPh sb="22" eb="27">
      <t>センマンエンイジョウ</t>
    </rPh>
    <rPh sb="29" eb="31">
      <t>バアイ</t>
    </rPh>
    <phoneticPr fontId="1"/>
  </si>
  <si>
    <t>・所得金額調整控除がある場合や、給与所得の特定支出控除がある場合等</t>
    <rPh sb="1" eb="9">
      <t>ショトクキンガクチョウセイコウジョ</t>
    </rPh>
    <rPh sb="12" eb="14">
      <t>バアイ</t>
    </rPh>
    <rPh sb="16" eb="20">
      <t>キュウヨショトク</t>
    </rPh>
    <rPh sb="21" eb="27">
      <t>トクテイシシュツコウジョ</t>
    </rPh>
    <rPh sb="30" eb="32">
      <t>バアイ</t>
    </rPh>
    <rPh sb="32" eb="33">
      <t>トウ</t>
    </rPh>
    <phoneticPr fontId="1"/>
  </si>
  <si>
    <t>・専従者給与がある場合、または専従者控除を必要経費に算出している場合</t>
    <rPh sb="1" eb="6">
      <t>センジュウシャキュウヨ</t>
    </rPh>
    <rPh sb="9" eb="11">
      <t>バアイ</t>
    </rPh>
    <rPh sb="15" eb="20">
      <t>センジュウシャコウジョ</t>
    </rPh>
    <rPh sb="21" eb="25">
      <t>ヒツヨウケイヒ</t>
    </rPh>
    <rPh sb="26" eb="28">
      <t>サンシュツ</t>
    </rPh>
    <rPh sb="32" eb="34">
      <t>バアイ</t>
    </rPh>
    <phoneticPr fontId="1"/>
  </si>
  <si>
    <t>・分離課税所得(土地・株式等の譲渡所得等)がある場合</t>
    <rPh sb="1" eb="7">
      <t>ブンリカゼイショトク</t>
    </rPh>
    <rPh sb="8" eb="10">
      <t>トチ</t>
    </rPh>
    <rPh sb="11" eb="14">
      <t>カブシキトウ</t>
    </rPh>
    <rPh sb="15" eb="19">
      <t>ジョウトショトク</t>
    </rPh>
    <rPh sb="19" eb="20">
      <t>トウ</t>
    </rPh>
    <rPh sb="24" eb="26">
      <t>バアイ</t>
    </rPh>
    <phoneticPr fontId="1"/>
  </si>
  <si>
    <t>・産前産後期間に係る軽減措置に該当する場合</t>
    <rPh sb="1" eb="3">
      <t>サンゼン</t>
    </rPh>
    <rPh sb="3" eb="5">
      <t>サンゴ</t>
    </rPh>
    <rPh sb="5" eb="7">
      <t>キカン</t>
    </rPh>
    <rPh sb="8" eb="9">
      <t>カカ</t>
    </rPh>
    <rPh sb="10" eb="14">
      <t>ケイゲンソチ</t>
    </rPh>
    <rPh sb="15" eb="17">
      <t>ガイトウ</t>
    </rPh>
    <rPh sb="19" eb="21">
      <t>バアイ</t>
    </rPh>
    <phoneticPr fontId="1"/>
  </si>
  <si>
    <t>①世帯主及び加入者の年齢区分を選択してください。</t>
    <rPh sb="1" eb="4">
      <t>セタイヌシ</t>
    </rPh>
    <rPh sb="4" eb="5">
      <t>オヨ</t>
    </rPh>
    <rPh sb="6" eb="9">
      <t>カニュウシャ</t>
    </rPh>
    <rPh sb="10" eb="14">
      <t>ネンレイクブン</t>
    </rPh>
    <rPh sb="15" eb="17">
      <t>センタク</t>
    </rPh>
    <phoneticPr fontId="1"/>
  </si>
  <si>
    <t>②世帯主及び加入者の令和5年中の「給与収入金額」「公的年金収入金額」「その他の所得金額」を入力してください。</t>
    <rPh sb="1" eb="5">
      <t>セタイヌシオヨ</t>
    </rPh>
    <rPh sb="6" eb="9">
      <t>カニュウシャ</t>
    </rPh>
    <rPh sb="10" eb="12">
      <t>レイワ</t>
    </rPh>
    <rPh sb="13" eb="15">
      <t>ネンチュウ</t>
    </rPh>
    <rPh sb="45" eb="47">
      <t>ニュウリョク</t>
    </rPh>
    <phoneticPr fontId="1"/>
  </si>
  <si>
    <t>　(「給与収入金額」「公的年金収入金額」「その他の所得金額」が空白の場合、令和5年所得を0円で保険税を試算します。)</t>
    <rPh sb="31" eb="33">
      <t>クウハク</t>
    </rPh>
    <rPh sb="34" eb="36">
      <t>バアイ</t>
    </rPh>
    <rPh sb="37" eb="39">
      <t>レイワ</t>
    </rPh>
    <rPh sb="40" eb="43">
      <t>ネンショトク</t>
    </rPh>
    <rPh sb="45" eb="46">
      <t>エン</t>
    </rPh>
    <rPh sb="47" eb="50">
      <t>ホケンゼイ</t>
    </rPh>
    <rPh sb="51" eb="53">
      <t>シサン</t>
    </rPh>
    <phoneticPr fontId="1"/>
  </si>
  <si>
    <t>③今治市に納めている令和6年度固定資産税額を入力してください。</t>
    <rPh sb="1" eb="4">
      <t>イマバリシ</t>
    </rPh>
    <rPh sb="5" eb="6">
      <t>オサ</t>
    </rPh>
    <rPh sb="10" eb="12">
      <t>レイワ</t>
    </rPh>
    <rPh sb="13" eb="15">
      <t>ネンド</t>
    </rPh>
    <rPh sb="15" eb="21">
      <t>コテイシサンゼイガク</t>
    </rPh>
    <rPh sb="22" eb="24">
      <t>ニュウリョク</t>
    </rPh>
    <phoneticPr fontId="1"/>
  </si>
  <si>
    <t>②令和5年中の収入および所得</t>
    <rPh sb="1" eb="3">
      <t>レイワ</t>
    </rPh>
    <rPh sb="4" eb="6">
      <t>ネンチュウ</t>
    </rPh>
    <rPh sb="7" eb="9">
      <t>シュウニュウ</t>
    </rPh>
    <rPh sb="12" eb="14">
      <t>ショトク</t>
    </rPh>
    <phoneticPr fontId="1"/>
  </si>
  <si>
    <t>③令和6年度</t>
    <rPh sb="1" eb="3">
      <t>レイワ</t>
    </rPh>
    <rPh sb="4" eb="6">
      <t>ネンド</t>
    </rPh>
    <phoneticPr fontId="1"/>
  </si>
  <si>
    <t>①年齢区分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</si>
</sst>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;\-#,##0&quot;円&quot;"/>
    <numFmt numFmtId="177" formatCode="#,##0&quot;円&quot;;"/>
    <numFmt numFmtId="178" formatCode="&quot;約&quot;#,##0&quot;円&quot;;"/>
    <numFmt numFmtId="179" formatCode="0&quot;人&quot;"/>
    <numFmt numFmtId="180" formatCode="0.0%"/>
  </numFmts>
  <fonts count="8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20"/>
      <color theme="1"/>
      <name val="游ゴシック"/>
      <family val="3"/>
      <scheme val="minor"/>
    </font>
    <font>
      <b/>
      <sz val="11"/>
      <color rgb="FFFF0000"/>
      <name val="游ゴシック"/>
      <family val="3"/>
      <scheme val="minor"/>
    </font>
    <font>
      <sz val="11"/>
      <name val="游ゴシック"/>
      <family val="3"/>
      <scheme val="minor"/>
    </font>
    <font>
      <b/>
      <u/>
      <sz val="11"/>
      <color rgb="FFFF0000"/>
      <name val="游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 diagonalDown="1">
      <left style="medium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2" borderId="29" xfId="0" applyNumberFormat="1" applyFill="1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32" xfId="0" applyBorder="1">
      <alignment vertical="center"/>
    </xf>
    <xf numFmtId="0" fontId="0" fillId="0" borderId="35" xfId="0" applyBorder="1" applyAlignment="1">
      <alignment horizontal="center" vertical="center"/>
    </xf>
    <xf numFmtId="176" fontId="0" fillId="0" borderId="36" xfId="0" applyNumberFormat="1" applyBorder="1">
      <alignment vertical="center"/>
    </xf>
    <xf numFmtId="176" fontId="0" fillId="0" borderId="37" xfId="0" applyNumberFormat="1" applyBorder="1">
      <alignment vertical="center"/>
    </xf>
    <xf numFmtId="176" fontId="0" fillId="0" borderId="38" xfId="0" applyNumberFormat="1" applyBorder="1">
      <alignment vertical="center"/>
    </xf>
    <xf numFmtId="176" fontId="0" fillId="0" borderId="39" xfId="0" applyNumberFormat="1" applyBorder="1">
      <alignment vertical="center"/>
    </xf>
    <xf numFmtId="176" fontId="0" fillId="2" borderId="40" xfId="0" applyNumberFormat="1" applyFill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77" fontId="0" fillId="0" borderId="45" xfId="0" applyNumberFormat="1" applyBorder="1">
      <alignment vertical="center"/>
    </xf>
    <xf numFmtId="178" fontId="0" fillId="0" borderId="44" xfId="0" applyNumberFormat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13" xfId="0" applyBorder="1">
      <alignment vertical="center"/>
    </xf>
    <xf numFmtId="179" fontId="0" fillId="0" borderId="13" xfId="0" applyNumberFormat="1" applyBorder="1">
      <alignment vertical="center"/>
    </xf>
    <xf numFmtId="176" fontId="0" fillId="2" borderId="50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2" borderId="51" xfId="0" applyNumberFormat="1" applyFill="1" applyBorder="1">
      <alignment vertical="center"/>
    </xf>
    <xf numFmtId="180" fontId="0" fillId="0" borderId="13" xfId="0" applyNumberFormat="1" applyBorder="1">
      <alignment vertical="center"/>
    </xf>
    <xf numFmtId="0" fontId="0" fillId="2" borderId="13" xfId="0" applyFill="1" applyBorder="1">
      <alignment vertical="center"/>
    </xf>
    <xf numFmtId="0" fontId="0" fillId="0" borderId="52" xfId="0" applyBorder="1">
      <alignment vertical="center"/>
    </xf>
    <xf numFmtId="0" fontId="0" fillId="0" borderId="13" xfId="0" applyBorder="1" applyAlignment="1">
      <alignment vertical="center" shrinkToFit="1"/>
    </xf>
    <xf numFmtId="0" fontId="0" fillId="0" borderId="53" xfId="0" applyBorder="1">
      <alignment vertical="center"/>
    </xf>
    <xf numFmtId="0" fontId="0" fillId="0" borderId="22" xfId="0" applyBorder="1">
      <alignment vertical="center"/>
    </xf>
    <xf numFmtId="0" fontId="0" fillId="0" borderId="33" xfId="0" applyBorder="1">
      <alignment vertical="center"/>
    </xf>
    <xf numFmtId="177" fontId="0" fillId="0" borderId="0" xfId="0" applyNumberFormat="1">
      <alignment vertical="center"/>
    </xf>
    <xf numFmtId="0" fontId="0" fillId="3" borderId="13" xfId="0" applyFill="1" applyBorder="1" applyAlignment="1" applyProtection="1">
      <alignment horizontal="center" vertical="center"/>
      <protection locked="0"/>
    </xf>
    <xf numFmtId="176" fontId="0" fillId="3" borderId="22" xfId="0" applyNumberFormat="1" applyFill="1" applyBorder="1" applyProtection="1">
      <alignment vertical="center"/>
      <protection locked="0"/>
    </xf>
    <xf numFmtId="176" fontId="0" fillId="3" borderId="30" xfId="0" applyNumberFormat="1" applyFill="1" applyBorder="1" applyProtection="1">
      <alignment vertical="center"/>
      <protection locked="0"/>
    </xf>
    <xf numFmtId="176" fontId="0" fillId="3" borderId="33" xfId="0" applyNumberFormat="1" applyFill="1" applyBorder="1" applyProtection="1">
      <alignment vertical="center"/>
      <protection locked="0"/>
    </xf>
    <xf numFmtId="176" fontId="0" fillId="3" borderId="43" xfId="0" applyNumberFormat="1" applyFill="1" applyBorder="1" applyProtection="1">
      <alignment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176" fontId="0" fillId="3" borderId="23" xfId="0" applyNumberFormat="1" applyFill="1" applyBorder="1" applyProtection="1">
      <alignment vertical="center"/>
      <protection locked="0"/>
    </xf>
    <xf numFmtId="176" fontId="0" fillId="3" borderId="31" xfId="0" applyNumberFormat="1" applyFill="1" applyBorder="1" applyProtection="1">
      <alignment vertical="center"/>
      <protection locked="0"/>
    </xf>
    <xf numFmtId="176" fontId="0" fillId="3" borderId="34" xfId="0" applyNumberFormat="1" applyFill="1" applyBorder="1" applyProtection="1">
      <alignment vertical="center"/>
      <protection locked="0"/>
    </xf>
    <xf numFmtId="176" fontId="0" fillId="3" borderId="44" xfId="0" applyNumberFormat="1" applyFill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"/>
  <sheetViews>
    <sheetView tabSelected="1" view="pageBreakPreview" topLeftCell="A8" zoomScale="80" zoomScaleNormal="80" zoomScaleSheetLayoutView="80" workbookViewId="0">
      <selection activeCell="C16" sqref="C16:C17"/>
    </sheetView>
  </sheetViews>
  <sheetFormatPr defaultColWidth="9" defaultRowHeight="18"/>
  <cols>
    <col min="1" max="2" width="9" customWidth="1"/>
    <col min="3" max="3" width="19.83203125" customWidth="1"/>
    <col min="4" max="7" width="17.33203125" customWidth="1"/>
    <col min="8" max="9" width="9" customWidth="1"/>
    <col min="10" max="19" width="23.08203125" hidden="1" customWidth="1"/>
    <col min="20" max="22" width="12.5" customWidth="1"/>
    <col min="23" max="23" width="9" customWidth="1"/>
  </cols>
  <sheetData>
    <row r="1" spans="1:19">
      <c r="A1" s="1"/>
      <c r="B1" s="5"/>
      <c r="C1" s="5"/>
      <c r="D1" s="5"/>
      <c r="E1" s="5"/>
      <c r="F1" s="5"/>
      <c r="G1" s="5"/>
      <c r="H1" s="41"/>
    </row>
    <row r="2" spans="1:19" ht="37.5" customHeight="1">
      <c r="A2" s="2"/>
      <c r="B2" s="68" t="s">
        <v>2</v>
      </c>
      <c r="C2" s="68"/>
      <c r="D2" s="68"/>
      <c r="E2" s="68"/>
      <c r="F2" s="68"/>
      <c r="G2" s="68"/>
      <c r="H2" s="42"/>
    </row>
    <row r="3" spans="1:19">
      <c r="A3" s="2"/>
      <c r="H3" s="42"/>
      <c r="J3" t="s">
        <v>3</v>
      </c>
    </row>
    <row r="4" spans="1:19">
      <c r="A4" s="2"/>
      <c r="B4" t="s">
        <v>4</v>
      </c>
      <c r="H4" s="42"/>
      <c r="J4" s="13"/>
      <c r="K4" s="22" t="s">
        <v>6</v>
      </c>
      <c r="L4" s="29" t="s">
        <v>8</v>
      </c>
      <c r="M4" s="31" t="s">
        <v>12</v>
      </c>
    </row>
    <row r="5" spans="1:19">
      <c r="A5" s="2"/>
      <c r="B5" t="s">
        <v>15</v>
      </c>
      <c r="H5" s="42"/>
      <c r="J5" s="14" t="s">
        <v>9</v>
      </c>
      <c r="K5" s="23">
        <f>ROUNDDOWN(M17*N34,0)</f>
        <v>0</v>
      </c>
      <c r="L5" s="23">
        <f>ROUNDDOWN(N17*N34,0)</f>
        <v>0</v>
      </c>
      <c r="M5" s="32">
        <f>ROUNDDOWN(O17*O34,0)</f>
        <v>0</v>
      </c>
    </row>
    <row r="6" spans="1:19">
      <c r="A6" s="2"/>
      <c r="H6" s="42"/>
      <c r="J6" s="15" t="s">
        <v>7</v>
      </c>
      <c r="K6" s="24">
        <f>ROUNDDOWN(M18*P34,0)</f>
        <v>0</v>
      </c>
      <c r="L6" s="24">
        <f>ROUNDDOWN(N18*P34,0)</f>
        <v>0</v>
      </c>
      <c r="M6" s="33">
        <f>ROUNDDOWN(O18*Q34,0)</f>
        <v>0</v>
      </c>
    </row>
    <row r="7" spans="1:19">
      <c r="A7" s="2"/>
      <c r="B7" t="s">
        <v>93</v>
      </c>
      <c r="H7" s="42"/>
      <c r="J7" s="15" t="s">
        <v>18</v>
      </c>
      <c r="K7" s="24">
        <f>M19*SUM(R40:R42)*M52+M19*R39*M52*0.5</f>
        <v>0</v>
      </c>
      <c r="L7" s="24">
        <f>N19*SUM(R40:R42)*M52+N19*R39*M52*0.5</f>
        <v>0</v>
      </c>
      <c r="M7" s="33">
        <f>O19*R41*M52</f>
        <v>0</v>
      </c>
    </row>
    <row r="8" spans="1:19">
      <c r="A8" s="3"/>
      <c r="B8" t="s">
        <v>19</v>
      </c>
      <c r="H8" s="42"/>
      <c r="J8" s="15" t="s">
        <v>20</v>
      </c>
      <c r="K8" s="24">
        <f>IF(K45&gt;0,M20*M52,0)</f>
        <v>0</v>
      </c>
      <c r="L8" s="24">
        <f>IF(K45&gt;0,N20*M52,0)</f>
        <v>0</v>
      </c>
      <c r="M8" s="33">
        <f>IF(R41&gt;0,O20*M52,0)</f>
        <v>0</v>
      </c>
    </row>
    <row r="9" spans="1:19">
      <c r="A9" s="2"/>
      <c r="B9" t="s">
        <v>94</v>
      </c>
      <c r="H9" s="42"/>
      <c r="J9" s="16" t="s">
        <v>23</v>
      </c>
      <c r="K9" s="25">
        <f>K10-SUM(K5:K8)</f>
        <v>0</v>
      </c>
      <c r="L9" s="25">
        <f>L10-SUM(L5:L8)</f>
        <v>0</v>
      </c>
      <c r="M9" s="34">
        <f>M10-SUM(M5:M8)</f>
        <v>0</v>
      </c>
    </row>
    <row r="10" spans="1:19">
      <c r="A10" s="3"/>
      <c r="B10" t="s">
        <v>24</v>
      </c>
      <c r="H10" s="42"/>
      <c r="J10" s="17" t="s">
        <v>26</v>
      </c>
      <c r="K10" s="26">
        <f>IF(SUM(D28:D31)&lt;=M21,ROUNDDOWN(SUM(D28:D31),-2),M21)</f>
        <v>0</v>
      </c>
      <c r="L10" s="26">
        <f>IF(SUM(E28:E31)&lt;=N21,ROUNDDOWN(SUM(E28:E31),-2),N21)</f>
        <v>0</v>
      </c>
      <c r="M10" s="35">
        <f>IF(SUM(F28:F31)&lt;=O21,ROUNDDOWN(SUM(F28:F31),-2),O21)</f>
        <v>0</v>
      </c>
    </row>
    <row r="11" spans="1:19">
      <c r="A11" s="2"/>
      <c r="B11" t="s">
        <v>14</v>
      </c>
      <c r="H11" s="42"/>
      <c r="J11" s="18" t="s">
        <v>27</v>
      </c>
      <c r="K11" s="47">
        <f>M21</f>
        <v>650000</v>
      </c>
      <c r="L11" s="47">
        <f>N21</f>
        <v>240000</v>
      </c>
      <c r="M11" s="49">
        <f>O21</f>
        <v>170000</v>
      </c>
    </row>
    <row r="12" spans="1:19">
      <c r="A12" s="2"/>
      <c r="B12" t="s">
        <v>95</v>
      </c>
      <c r="H12" s="42"/>
    </row>
    <row r="13" spans="1:19">
      <c r="A13" s="3"/>
      <c r="B13" t="s">
        <v>96</v>
      </c>
      <c r="H13" s="42"/>
    </row>
    <row r="14" spans="1:19">
      <c r="A14" s="2"/>
      <c r="H14" s="42"/>
    </row>
    <row r="15" spans="1:19" ht="18.5" thickBot="1">
      <c r="A15" s="2"/>
      <c r="B15" t="s">
        <v>30</v>
      </c>
      <c r="H15" s="42"/>
      <c r="J15" s="44" t="s">
        <v>21</v>
      </c>
      <c r="L15" t="s">
        <v>31</v>
      </c>
      <c r="Q15" t="s">
        <v>22</v>
      </c>
    </row>
    <row r="16" spans="1:19">
      <c r="A16" s="2"/>
      <c r="B16" s="69"/>
      <c r="C16" s="71" t="s">
        <v>99</v>
      </c>
      <c r="D16" s="20"/>
      <c r="E16" s="11" t="s">
        <v>97</v>
      </c>
      <c r="F16" s="30"/>
      <c r="G16" s="31" t="s">
        <v>98</v>
      </c>
      <c r="H16" s="42"/>
      <c r="J16" s="45" t="s">
        <v>25</v>
      </c>
      <c r="L16" s="45"/>
      <c r="M16" s="45" t="s">
        <v>6</v>
      </c>
      <c r="N16" s="53" t="s">
        <v>8</v>
      </c>
      <c r="O16" s="45" t="s">
        <v>12</v>
      </c>
      <c r="Q16" s="45"/>
      <c r="R16" s="45" t="s">
        <v>33</v>
      </c>
      <c r="S16" s="45" t="s">
        <v>34</v>
      </c>
    </row>
    <row r="17" spans="1:19">
      <c r="A17" s="2"/>
      <c r="B17" s="70"/>
      <c r="C17" s="72"/>
      <c r="D17" s="21" t="s">
        <v>36</v>
      </c>
      <c r="E17" s="28" t="s">
        <v>37</v>
      </c>
      <c r="F17" s="12" t="s">
        <v>28</v>
      </c>
      <c r="G17" s="38" t="s">
        <v>35</v>
      </c>
      <c r="H17" s="42"/>
      <c r="J17" s="45" t="s">
        <v>40</v>
      </c>
      <c r="L17" s="45" t="s">
        <v>9</v>
      </c>
      <c r="M17" s="50">
        <v>8.199999999999999E-2</v>
      </c>
      <c r="N17" s="50">
        <v>3.2000000000000001E-2</v>
      </c>
      <c r="O17" s="50">
        <v>0.03</v>
      </c>
      <c r="Q17" s="45" t="s">
        <v>1</v>
      </c>
      <c r="R17" s="48">
        <f t="shared" ref="R17:R22" si="0">MAX(IF(E18&lt;=1300000,E18-600000,IF(E18&lt;=4100000,E18*0.75-275000,IF(E18&lt;=7700000,E18*0.85-685000,IF(E18&lt;=10000000,E18*0.95-1455000,IF(E18&gt;10000000,E18-1955000))))),0)</f>
        <v>0</v>
      </c>
      <c r="S17" s="48">
        <f t="shared" ref="S17:S22" si="1">MAX(IF(E18&lt;=3300000,E18-1100000,IF(E18&lt;=4100000,E18*0.75-275000,IF(E18&lt;=7700000,E18*0.85-685000,IF(E18&lt;=10000000,E18*0.95-1455000,IF(E18&gt;10000000,E18-1955000))))),0)</f>
        <v>0</v>
      </c>
    </row>
    <row r="18" spans="1:19">
      <c r="A18" s="2"/>
      <c r="B18" s="6" t="s">
        <v>1</v>
      </c>
      <c r="C18" s="58"/>
      <c r="D18" s="59"/>
      <c r="E18" s="60"/>
      <c r="F18" s="61"/>
      <c r="G18" s="62"/>
      <c r="H18" s="42"/>
      <c r="J18" s="45" t="s">
        <v>41</v>
      </c>
      <c r="L18" s="45" t="s">
        <v>7</v>
      </c>
      <c r="M18" s="50">
        <v>0.17499999999999999</v>
      </c>
      <c r="N18" s="50">
        <v>5.2000000000000005E-2</v>
      </c>
      <c r="O18" s="50">
        <v>4.8000000000000001E-2</v>
      </c>
      <c r="Q18" s="45" t="s">
        <v>42</v>
      </c>
      <c r="R18" s="48">
        <f t="shared" si="0"/>
        <v>0</v>
      </c>
      <c r="S18" s="48">
        <f t="shared" si="1"/>
        <v>0</v>
      </c>
    </row>
    <row r="19" spans="1:19">
      <c r="A19" s="2"/>
      <c r="B19" s="7" t="s">
        <v>42</v>
      </c>
      <c r="C19" s="58"/>
      <c r="D19" s="59"/>
      <c r="E19" s="60"/>
      <c r="F19" s="61"/>
      <c r="G19" s="62"/>
      <c r="H19" s="42"/>
      <c r="J19" s="45" t="s">
        <v>43</v>
      </c>
      <c r="L19" s="45" t="s">
        <v>18</v>
      </c>
      <c r="M19" s="48">
        <v>19800</v>
      </c>
      <c r="N19" s="48">
        <v>7100</v>
      </c>
      <c r="O19" s="48">
        <v>7600</v>
      </c>
      <c r="Q19" s="45" t="s">
        <v>16</v>
      </c>
      <c r="R19" s="48">
        <f t="shared" si="0"/>
        <v>0</v>
      </c>
      <c r="S19" s="48">
        <f t="shared" si="1"/>
        <v>0</v>
      </c>
    </row>
    <row r="20" spans="1:19">
      <c r="A20" s="2"/>
      <c r="B20" s="7" t="s">
        <v>16</v>
      </c>
      <c r="C20" s="58"/>
      <c r="D20" s="59"/>
      <c r="E20" s="60"/>
      <c r="F20" s="61"/>
      <c r="G20" s="62"/>
      <c r="H20" s="42"/>
      <c r="J20" s="45" t="s">
        <v>39</v>
      </c>
      <c r="L20" s="45" t="s">
        <v>20</v>
      </c>
      <c r="M20" s="48">
        <v>25500</v>
      </c>
      <c r="N20" s="48">
        <v>7400</v>
      </c>
      <c r="O20" s="48">
        <v>6500</v>
      </c>
      <c r="Q20" s="45" t="s">
        <v>0</v>
      </c>
      <c r="R20" s="48">
        <f t="shared" si="0"/>
        <v>0</v>
      </c>
      <c r="S20" s="48">
        <f t="shared" si="1"/>
        <v>0</v>
      </c>
    </row>
    <row r="21" spans="1:19">
      <c r="A21" s="2"/>
      <c r="B21" s="7" t="s">
        <v>0</v>
      </c>
      <c r="C21" s="58"/>
      <c r="D21" s="59"/>
      <c r="E21" s="60"/>
      <c r="F21" s="61"/>
      <c r="G21" s="62"/>
      <c r="H21" s="42"/>
      <c r="J21" s="45" t="s">
        <v>32</v>
      </c>
      <c r="L21" s="45" t="s">
        <v>27</v>
      </c>
      <c r="M21" s="48">
        <v>650000</v>
      </c>
      <c r="N21" s="48">
        <v>240000</v>
      </c>
      <c r="O21" s="48">
        <v>170000</v>
      </c>
      <c r="Q21" s="45" t="s">
        <v>44</v>
      </c>
      <c r="R21" s="48">
        <f t="shared" si="0"/>
        <v>0</v>
      </c>
      <c r="S21" s="48">
        <f t="shared" si="1"/>
        <v>0</v>
      </c>
    </row>
    <row r="22" spans="1:19">
      <c r="A22" s="2"/>
      <c r="B22" s="7" t="s">
        <v>44</v>
      </c>
      <c r="C22" s="58"/>
      <c r="D22" s="59"/>
      <c r="E22" s="60"/>
      <c r="F22" s="61"/>
      <c r="G22" s="62"/>
      <c r="H22" s="42"/>
      <c r="Q22" s="45" t="s">
        <v>46</v>
      </c>
      <c r="R22" s="48">
        <f t="shared" si="0"/>
        <v>0</v>
      </c>
      <c r="S22" s="48">
        <f t="shared" si="1"/>
        <v>0</v>
      </c>
    </row>
    <row r="23" spans="1:19">
      <c r="A23" s="2"/>
      <c r="B23" s="8" t="s">
        <v>46</v>
      </c>
      <c r="C23" s="63"/>
      <c r="D23" s="64"/>
      <c r="E23" s="65"/>
      <c r="F23" s="66"/>
      <c r="G23" s="67"/>
      <c r="H23" s="42"/>
    </row>
    <row r="24" spans="1:19">
      <c r="A24" s="2"/>
      <c r="H24" s="42"/>
    </row>
    <row r="25" spans="1:19">
      <c r="A25" s="2"/>
      <c r="H25" s="42"/>
    </row>
    <row r="26" spans="1:19">
      <c r="A26" s="2"/>
      <c r="C26" t="s">
        <v>3</v>
      </c>
      <c r="H26" s="42"/>
      <c r="J26" t="s">
        <v>47</v>
      </c>
      <c r="Q26" s="57"/>
    </row>
    <row r="27" spans="1:19">
      <c r="A27" s="2"/>
      <c r="C27" s="13"/>
      <c r="D27" s="22" t="s">
        <v>6</v>
      </c>
      <c r="E27" s="29" t="s">
        <v>8</v>
      </c>
      <c r="F27" s="31" t="s">
        <v>12</v>
      </c>
      <c r="H27" s="42"/>
      <c r="J27" s="45"/>
      <c r="K27" s="45" t="s">
        <v>48</v>
      </c>
      <c r="L27" s="45" t="s">
        <v>49</v>
      </c>
      <c r="M27" s="45" t="s">
        <v>5</v>
      </c>
      <c r="N27" s="45" t="s">
        <v>50</v>
      </c>
      <c r="O27" s="45" t="s">
        <v>53</v>
      </c>
      <c r="P27" s="45" t="s">
        <v>54</v>
      </c>
      <c r="Q27" s="45" t="s">
        <v>29</v>
      </c>
      <c r="R27" s="45" t="s">
        <v>55</v>
      </c>
    </row>
    <row r="28" spans="1:19">
      <c r="A28" s="2"/>
      <c r="C28" s="14" t="s">
        <v>9</v>
      </c>
      <c r="D28" s="23">
        <f t="shared" ref="D28:F34" si="2">K5</f>
        <v>0</v>
      </c>
      <c r="E28" s="23">
        <f t="shared" si="2"/>
        <v>0</v>
      </c>
      <c r="F28" s="32">
        <f t="shared" si="2"/>
        <v>0</v>
      </c>
      <c r="H28" s="42"/>
      <c r="J28" s="45" t="s">
        <v>1</v>
      </c>
      <c r="K28" s="48">
        <f t="shared" ref="K28:K33" si="3">IF(C18="",0,IF(D18&lt;=550999,0,IF(D18&lt;=1618999,D18-550000,IF(D18&lt;=1619999,1069000,IF(D18&lt;=1621999,1070000,IF(D18&lt;=1623999,1072000,IF(D18&lt;=1623999,1072000,IF(D18&lt;=1627999,1074000,IF(D18&lt;=1799999,(ROUNDDOWN(D18/4,-3)*2.4+100000),IF(D18&lt;=3599999,(ROUNDDOWN(D18/4,-3)*2.8-80000),IF(D18&lt;=6599999,(ROUNDDOWN(D18/4,-3)*3.2-440000),IF(D18&lt;=8499999,D18*0.9-1100000,IF(D18&gt;=8500000,D18-1950000)))))))))))))</f>
        <v>0</v>
      </c>
      <c r="L28" s="48">
        <f>IF(OR(C18="40歳～64歳",C18="加入しない(65歳未満)"),R17,IF(OR(C18="65歳～74歳",C18="加入しない(65歳以上)"),S17,0))</f>
        <v>0</v>
      </c>
      <c r="M28" s="48">
        <f t="shared" ref="M28:M33" si="4">IF(C18="",0,F18)</f>
        <v>0</v>
      </c>
      <c r="N28" s="48">
        <f>IF(OR(C18="加入しない(65歳未満)",C18="加入しない(65歳以上)"),0,MAX(SUM(K28:M28)-430000,0))</f>
        <v>0</v>
      </c>
      <c r="O28" s="48">
        <f t="shared" ref="O28:O33" si="5">IF(C18="40歳～64歳",N28,0)</f>
        <v>0</v>
      </c>
      <c r="P28" s="48">
        <f>IF(OR(C18="加入しない(65歳未満)",C18="加入しない(65歳以上)"),0,G18)</f>
        <v>0</v>
      </c>
      <c r="Q28" s="48">
        <f t="shared" ref="Q28:Q33" si="6">IF(C18="40歳～64歳",P28,0)</f>
        <v>0</v>
      </c>
      <c r="R28" s="48">
        <f t="shared" ref="R28:R33" si="7">K28+M28+IF(OR(C18="65歳～74歳",C18="加入しない(65歳以上)"),MAX(L28-150000,0),L28)</f>
        <v>0</v>
      </c>
    </row>
    <row r="29" spans="1:19">
      <c r="A29" s="2"/>
      <c r="C29" s="15" t="s">
        <v>7</v>
      </c>
      <c r="D29" s="24">
        <f t="shared" si="2"/>
        <v>0</v>
      </c>
      <c r="E29" s="24">
        <f t="shared" si="2"/>
        <v>0</v>
      </c>
      <c r="F29" s="33">
        <f t="shared" si="2"/>
        <v>0</v>
      </c>
      <c r="H29" s="42"/>
      <c r="J29" s="45" t="s">
        <v>42</v>
      </c>
      <c r="K29" s="48">
        <f t="shared" si="3"/>
        <v>0</v>
      </c>
      <c r="L29" s="48">
        <f>IF(C19="40歳～64歳",R18,IF(C19="65歳～74歳",S18,0))</f>
        <v>0</v>
      </c>
      <c r="M29" s="48">
        <f t="shared" si="4"/>
        <v>0</v>
      </c>
      <c r="N29" s="48">
        <f>MAX(SUM(K29:M29)-430000,0)</f>
        <v>0</v>
      </c>
      <c r="O29" s="48">
        <f t="shared" si="5"/>
        <v>0</v>
      </c>
      <c r="P29" s="48">
        <f>IF(C19="",0,G19)</f>
        <v>0</v>
      </c>
      <c r="Q29" s="48">
        <f t="shared" si="6"/>
        <v>0</v>
      </c>
      <c r="R29" s="48">
        <f t="shared" si="7"/>
        <v>0</v>
      </c>
    </row>
    <row r="30" spans="1:19">
      <c r="A30" s="2"/>
      <c r="C30" s="15" t="s">
        <v>18</v>
      </c>
      <c r="D30" s="24">
        <f t="shared" si="2"/>
        <v>0</v>
      </c>
      <c r="E30" s="24">
        <f t="shared" si="2"/>
        <v>0</v>
      </c>
      <c r="F30" s="33">
        <f t="shared" si="2"/>
        <v>0</v>
      </c>
      <c r="H30" s="42"/>
      <c r="J30" s="45" t="s">
        <v>16</v>
      </c>
      <c r="K30" s="48">
        <f>IF(C20="",0,IF(D20&lt;=550999,0,IF(D20&lt;=1618999,D20-550000,IF(D20&lt;=1619999,1069000,IF(D20&lt;=1621999,1070000,IF(D20&lt;=1623999,1072000,IF(D20&lt;=1623999,1072000,IF(D20&lt;=1627999,1074000,IF(D20&lt;=1799999,(ROUNDDOWN(D20/4,-3)*2.4+100000),IF(D20&lt;=3599999,(ROUNDDOWN(D20/4,-3)*2.8-80000),IF(D20&lt;=6599999,(ROUNDDOWN(D20/4,-3)*3.2-440000),IF(D20&lt;=8499999,D20*0.9-1100000,IF(D20&gt;=8500000,D20-1950000)))))))))))))</f>
        <v>0</v>
      </c>
      <c r="L30" s="48">
        <f>IF(C20="40歳～64歳",R19,IF(C20="65歳～74歳",S19,0))</f>
        <v>0</v>
      </c>
      <c r="M30" s="48">
        <f>IF(C20="",0,F20)</f>
        <v>0</v>
      </c>
      <c r="N30" s="48">
        <f>MAX(SUM(K30:M30)-430000,0)</f>
        <v>0</v>
      </c>
      <c r="O30" s="48">
        <f>IF(C20="40歳～64歳",N30,0)</f>
        <v>0</v>
      </c>
      <c r="P30" s="48">
        <f>IF(C20="",0,G20)</f>
        <v>0</v>
      </c>
      <c r="Q30" s="48">
        <f>IF(C20="40歳～64歳",P30,0)</f>
        <v>0</v>
      </c>
      <c r="R30" s="48">
        <f>K30+M30+IF(OR(C20="65歳～74歳",C20="加入しない(65歳以上)"),MAX(L30-150000,0),L30)</f>
        <v>0</v>
      </c>
    </row>
    <row r="31" spans="1:19">
      <c r="A31" s="2"/>
      <c r="C31" s="15" t="s">
        <v>20</v>
      </c>
      <c r="D31" s="24">
        <f t="shared" si="2"/>
        <v>0</v>
      </c>
      <c r="E31" s="24">
        <f t="shared" si="2"/>
        <v>0</v>
      </c>
      <c r="F31" s="33">
        <f t="shared" si="2"/>
        <v>0</v>
      </c>
      <c r="H31" s="42"/>
      <c r="J31" s="45" t="s">
        <v>0</v>
      </c>
      <c r="K31" s="48">
        <f t="shared" si="3"/>
        <v>0</v>
      </c>
      <c r="L31" s="48">
        <f>IF(C21="40歳～64歳",R20,IF(C21="65歳～74歳",S20,0))</f>
        <v>0</v>
      </c>
      <c r="M31" s="48">
        <f t="shared" si="4"/>
        <v>0</v>
      </c>
      <c r="N31" s="48">
        <f>MAX(SUM(K31:M31)-430000,0)</f>
        <v>0</v>
      </c>
      <c r="O31" s="48">
        <f t="shared" si="5"/>
        <v>0</v>
      </c>
      <c r="P31" s="48">
        <f>IF(C21="",0,G21)</f>
        <v>0</v>
      </c>
      <c r="Q31" s="48">
        <f t="shared" si="6"/>
        <v>0</v>
      </c>
      <c r="R31" s="48">
        <f t="shared" si="7"/>
        <v>0</v>
      </c>
    </row>
    <row r="32" spans="1:19">
      <c r="A32" s="2"/>
      <c r="C32" s="16" t="s">
        <v>23</v>
      </c>
      <c r="D32" s="25">
        <f t="shared" si="2"/>
        <v>0</v>
      </c>
      <c r="E32" s="25">
        <f t="shared" si="2"/>
        <v>0</v>
      </c>
      <c r="F32" s="34">
        <f t="shared" si="2"/>
        <v>0</v>
      </c>
      <c r="H32" s="42"/>
      <c r="J32" s="45" t="s">
        <v>44</v>
      </c>
      <c r="K32" s="48">
        <f t="shared" si="3"/>
        <v>0</v>
      </c>
      <c r="L32" s="48">
        <f>IF(C22="40歳～64歳",R21,IF(C22="65歳～74歳",S21,0))</f>
        <v>0</v>
      </c>
      <c r="M32" s="48">
        <f t="shared" si="4"/>
        <v>0</v>
      </c>
      <c r="N32" s="48">
        <f>MAX(SUM(K32:M32)-430000,0)</f>
        <v>0</v>
      </c>
      <c r="O32" s="48">
        <f t="shared" si="5"/>
        <v>0</v>
      </c>
      <c r="P32" s="48">
        <f>IF(C22="",0,G22)</f>
        <v>0</v>
      </c>
      <c r="Q32" s="48">
        <f t="shared" si="6"/>
        <v>0</v>
      </c>
      <c r="R32" s="48">
        <f t="shared" si="7"/>
        <v>0</v>
      </c>
    </row>
    <row r="33" spans="1:18">
      <c r="A33" s="2"/>
      <c r="C33" s="17" t="s">
        <v>26</v>
      </c>
      <c r="D33" s="26">
        <f t="shared" si="2"/>
        <v>0</v>
      </c>
      <c r="E33" s="26">
        <f t="shared" si="2"/>
        <v>0</v>
      </c>
      <c r="F33" s="35">
        <f t="shared" si="2"/>
        <v>0</v>
      </c>
      <c r="H33" s="42"/>
      <c r="J33" s="45" t="s">
        <v>46</v>
      </c>
      <c r="K33" s="48">
        <f t="shared" si="3"/>
        <v>0</v>
      </c>
      <c r="L33" s="48">
        <f>IF(C23="40歳～64歳",R22,IF(C23="65歳～74歳",S22,0))</f>
        <v>0</v>
      </c>
      <c r="M33" s="48">
        <f t="shared" si="4"/>
        <v>0</v>
      </c>
      <c r="N33" s="48">
        <f>MAX(SUM(K33:M33)-430000,0)</f>
        <v>0</v>
      </c>
      <c r="O33" s="48">
        <f t="shared" si="5"/>
        <v>0</v>
      </c>
      <c r="P33" s="48">
        <f>IF(C23="",0,G23)</f>
        <v>0</v>
      </c>
      <c r="Q33" s="48">
        <f t="shared" si="6"/>
        <v>0</v>
      </c>
      <c r="R33" s="48">
        <f t="shared" si="7"/>
        <v>0</v>
      </c>
    </row>
    <row r="34" spans="1:18">
      <c r="A34" s="2"/>
      <c r="C34" s="18" t="s">
        <v>27</v>
      </c>
      <c r="D34" s="27">
        <f t="shared" si="2"/>
        <v>650000</v>
      </c>
      <c r="E34" s="27">
        <f t="shared" si="2"/>
        <v>240000</v>
      </c>
      <c r="F34" s="36">
        <f t="shared" si="2"/>
        <v>170000</v>
      </c>
      <c r="H34" s="42"/>
      <c r="J34" s="45" t="s">
        <v>57</v>
      </c>
      <c r="K34" s="48">
        <f t="shared" ref="K34:R34" si="8">SUM(K28:K33)</f>
        <v>0</v>
      </c>
      <c r="L34" s="48">
        <f t="shared" si="8"/>
        <v>0</v>
      </c>
      <c r="M34" s="48">
        <f t="shared" si="8"/>
        <v>0</v>
      </c>
      <c r="N34" s="48">
        <f t="shared" si="8"/>
        <v>0</v>
      </c>
      <c r="O34" s="48">
        <f t="shared" si="8"/>
        <v>0</v>
      </c>
      <c r="P34" s="48">
        <f t="shared" si="8"/>
        <v>0</v>
      </c>
      <c r="Q34" s="48">
        <f t="shared" si="8"/>
        <v>0</v>
      </c>
      <c r="R34" s="48">
        <f t="shared" si="8"/>
        <v>0</v>
      </c>
    </row>
    <row r="35" spans="1:18">
      <c r="A35" s="2"/>
      <c r="C35" s="19" t="str">
        <f>IF(G37=0,"",IF(M50="軽減なし","",IF(M50="7割軽減",O49,IF(M50="5割軽減",O50,IF(M50="2割軽減",O51,)))))</f>
        <v/>
      </c>
      <c r="H35" s="42"/>
    </row>
    <row r="36" spans="1:18">
      <c r="A36" s="2"/>
      <c r="C36" s="19" t="str">
        <f>IF(AND(M52&lt;1,R39&gt;0),Q49,IF(AND(M52=1,R39&gt;0),Q50,""))</f>
        <v/>
      </c>
      <c r="H36" s="42"/>
    </row>
    <row r="37" spans="1:18">
      <c r="A37" s="2"/>
      <c r="F37" s="37" t="s">
        <v>45</v>
      </c>
      <c r="G37" s="39">
        <f>SUM(D33:F33)</f>
        <v>0</v>
      </c>
      <c r="H37" s="42"/>
      <c r="J37" t="s">
        <v>10</v>
      </c>
      <c r="Q37" t="s">
        <v>51</v>
      </c>
    </row>
    <row r="38" spans="1:18">
      <c r="A38" s="2"/>
      <c r="F38" s="8" t="s">
        <v>52</v>
      </c>
      <c r="G38" s="40">
        <f>ROUNDDOWN(G37/12,0)</f>
        <v>0</v>
      </c>
      <c r="H38" s="42"/>
      <c r="J38" s="45"/>
      <c r="K38" s="45" t="s">
        <v>58</v>
      </c>
      <c r="L38" s="45" t="s">
        <v>11</v>
      </c>
      <c r="M38" s="51" t="s">
        <v>56</v>
      </c>
      <c r="N38" s="51" t="s">
        <v>59</v>
      </c>
      <c r="O38" s="51" t="s">
        <v>60</v>
      </c>
      <c r="Q38" s="45"/>
      <c r="R38" s="45" t="s">
        <v>61</v>
      </c>
    </row>
    <row r="39" spans="1:18">
      <c r="A39" s="2"/>
      <c r="H39" s="42"/>
      <c r="J39" s="45" t="s">
        <v>1</v>
      </c>
      <c r="K39" s="46">
        <f>IF(OR(C18="加入しない(65歳未満)",C18="加入しない(65歳以上)",C18=""),0,1)</f>
        <v>0</v>
      </c>
      <c r="L39" s="46">
        <f t="shared" ref="L39:L44" si="9">IF(SUM(M39:O39)&gt;=1,1,0)</f>
        <v>0</v>
      </c>
      <c r="M39" s="51">
        <f>IF(D18&gt;=550000,1,0)</f>
        <v>0</v>
      </c>
      <c r="N39" s="51">
        <f>IF(AND(OR(C18="40歳～64歳",C18="加入しない(65歳未満)"),E18&gt;=600000),1,0)</f>
        <v>0</v>
      </c>
      <c r="O39" s="51">
        <f>IF(AND(OR(C18="65歳～74歳",C18="加入しない(65歳以上)"),E18&gt;=1100000),1,0)</f>
        <v>0</v>
      </c>
      <c r="Q39" s="45" t="s">
        <v>25</v>
      </c>
      <c r="R39" s="46">
        <f>COUNTIF(C18:C23,"未就学児")</f>
        <v>0</v>
      </c>
    </row>
    <row r="40" spans="1:18">
      <c r="A40" s="2"/>
      <c r="B40" t="s">
        <v>62</v>
      </c>
      <c r="H40" s="42"/>
      <c r="J40" s="45" t="s">
        <v>42</v>
      </c>
      <c r="K40" s="46">
        <f>COUNTA(C19)</f>
        <v>0</v>
      </c>
      <c r="L40" s="46">
        <f t="shared" si="9"/>
        <v>0</v>
      </c>
      <c r="M40" s="51">
        <f>IF(C19="",0,IF(D19&gt;=550000,1,0))</f>
        <v>0</v>
      </c>
      <c r="N40" s="51">
        <f>IF(C19="",0,IF(AND(OR(C19="40歳～64歳",C19="加入しない(65歳未満)"),E19&gt;=600000),1,0))</f>
        <v>0</v>
      </c>
      <c r="O40" s="51">
        <f>IF(C19="",0,IF(AND(OR(C19="65歳～74歳",C19="加入しない(65歳以上)"),E19&gt;=1100000),1,0))</f>
        <v>0</v>
      </c>
      <c r="Q40" s="45" t="s">
        <v>40</v>
      </c>
      <c r="R40" s="46">
        <f>COUNTIF(C18:C23,"小学生～39歳")</f>
        <v>0</v>
      </c>
    </row>
    <row r="41" spans="1:18">
      <c r="A41" s="2"/>
      <c r="B41" s="9" t="s">
        <v>63</v>
      </c>
      <c r="H41" s="42"/>
      <c r="J41" s="45" t="s">
        <v>16</v>
      </c>
      <c r="K41" s="46">
        <f>COUNTA(C20)</f>
        <v>0</v>
      </c>
      <c r="L41" s="46">
        <f t="shared" si="9"/>
        <v>0</v>
      </c>
      <c r="M41" s="51">
        <f>IF(C20="",0,IF(D20&gt;=550000,1,0))</f>
        <v>0</v>
      </c>
      <c r="N41" s="51">
        <f>IF(C20="",0,IF(AND(OR(C20="40歳～64歳",C20="加入しない(65歳未満)"),E20&gt;=600000),1,0))</f>
        <v>0</v>
      </c>
      <c r="O41" s="51">
        <f>IF(C20="",0,IF(AND(OR(C20="65歳～74歳",C20="加入しない(65歳以上)"),E20&gt;=1100000),1,0))</f>
        <v>0</v>
      </c>
      <c r="Q41" s="45" t="s">
        <v>41</v>
      </c>
      <c r="R41" s="46">
        <f>COUNTIF(C18:C23,"40歳～64歳")</f>
        <v>0</v>
      </c>
    </row>
    <row r="42" spans="1:18">
      <c r="A42" s="2"/>
      <c r="B42" s="9" t="s">
        <v>17</v>
      </c>
      <c r="H42" s="42"/>
      <c r="J42" s="45" t="s">
        <v>0</v>
      </c>
      <c r="K42" s="46">
        <f>COUNTA(C21)</f>
        <v>0</v>
      </c>
      <c r="L42" s="46">
        <f t="shared" si="9"/>
        <v>0</v>
      </c>
      <c r="M42" s="51">
        <f>IF(C21="",0,IF(D21&gt;=550000,1,0))</f>
        <v>0</v>
      </c>
      <c r="N42" s="51">
        <f>IF(C21="",0,IF(AND(OR(C21="40歳～64歳",C21="加入しない(65歳未満)"),E21&gt;=600000),1,0))</f>
        <v>0</v>
      </c>
      <c r="O42" s="51">
        <f>IF(C21="",0,IF(AND(OR(C21="65歳～74歳",C21="加入しない(65歳以上)"),E21&gt;=1100000),1,0))</f>
        <v>0</v>
      </c>
      <c r="Q42" s="45" t="s">
        <v>43</v>
      </c>
      <c r="R42" s="46">
        <f>COUNTIF(C18:C23,"65歳～74歳")</f>
        <v>0</v>
      </c>
    </row>
    <row r="43" spans="1:18">
      <c r="A43" s="2"/>
      <c r="H43" s="42"/>
      <c r="J43" s="45" t="s">
        <v>44</v>
      </c>
      <c r="K43" s="46">
        <f>COUNTA(C22)</f>
        <v>0</v>
      </c>
      <c r="L43" s="46">
        <f t="shared" si="9"/>
        <v>0</v>
      </c>
      <c r="M43" s="51">
        <f>IF(C22="",0,IF(D22&gt;=550000,1,0))</f>
        <v>0</v>
      </c>
      <c r="N43" s="51">
        <f>IF(C22="",0,IF(AND(OR(C22="40歳～64歳",C22="加入しない(65歳未満)"),E22&gt;=600000),1,0))</f>
        <v>0</v>
      </c>
      <c r="O43" s="51">
        <f>IF(C22="",0,IF(AND(OR(C22="65歳～74歳",C22="加入しない(65歳以上)"),E22&gt;=1100000),1,0))</f>
        <v>0</v>
      </c>
    </row>
    <row r="44" spans="1:18">
      <c r="A44" s="2"/>
      <c r="B44" t="s">
        <v>64</v>
      </c>
      <c r="H44" s="42"/>
      <c r="J44" s="45" t="s">
        <v>46</v>
      </c>
      <c r="K44" s="46">
        <f>COUNTA(C23)</f>
        <v>0</v>
      </c>
      <c r="L44" s="46">
        <f t="shared" si="9"/>
        <v>0</v>
      </c>
      <c r="M44" s="51">
        <f>IF(C23="",0,IF(D23&gt;=550000,1,0))</f>
        <v>0</v>
      </c>
      <c r="N44" s="51">
        <f>IF(C23="",0,IF(AND(OR(C23="40歳～64歳",C23="加入しない(65歳未満)"),E23&gt;=600000),1,0))</f>
        <v>0</v>
      </c>
      <c r="O44" s="51">
        <f>IF(C23="",0,IF(AND(OR(C23="65歳～74歳",C23="加入しない(65歳以上)"),E23&gt;=1100000),1,0))</f>
        <v>0</v>
      </c>
    </row>
    <row r="45" spans="1:18">
      <c r="A45" s="2"/>
      <c r="B45" t="s">
        <v>65</v>
      </c>
      <c r="H45" s="42"/>
      <c r="J45" s="45" t="s">
        <v>57</v>
      </c>
      <c r="K45" s="46">
        <f>SUM(K39:K44)</f>
        <v>0</v>
      </c>
      <c r="L45" s="46">
        <f>SUM(L39:L44)</f>
        <v>0</v>
      </c>
      <c r="M45" s="52"/>
      <c r="N45" s="54"/>
      <c r="O45" s="54"/>
    </row>
    <row r="46" spans="1:18">
      <c r="A46" s="2"/>
      <c r="B46" t="s">
        <v>66</v>
      </c>
      <c r="H46" s="42"/>
    </row>
    <row r="47" spans="1:18">
      <c r="A47" s="2"/>
      <c r="B47" t="s">
        <v>13</v>
      </c>
      <c r="H47" s="42"/>
      <c r="O47" t="s">
        <v>67</v>
      </c>
    </row>
    <row r="48" spans="1:18">
      <c r="A48" s="2"/>
      <c r="B48" t="s">
        <v>68</v>
      </c>
      <c r="H48" s="42"/>
      <c r="J48" t="s">
        <v>69</v>
      </c>
      <c r="O48" s="55" t="s">
        <v>70</v>
      </c>
      <c r="P48" s="56"/>
      <c r="Q48" s="55" t="s">
        <v>71</v>
      </c>
      <c r="R48" s="56"/>
    </row>
    <row r="49" spans="1:18">
      <c r="A49" s="2"/>
      <c r="B49" t="s">
        <v>73</v>
      </c>
      <c r="H49" s="42"/>
      <c r="J49" s="45" t="s">
        <v>58</v>
      </c>
      <c r="K49" s="45" t="s">
        <v>74</v>
      </c>
      <c r="L49" s="45" t="s">
        <v>75</v>
      </c>
      <c r="M49" s="45" t="s">
        <v>77</v>
      </c>
      <c r="O49" s="55" t="s">
        <v>78</v>
      </c>
      <c r="P49" s="56"/>
      <c r="Q49" s="55" t="s">
        <v>79</v>
      </c>
      <c r="R49" s="56"/>
    </row>
    <row r="50" spans="1:18">
      <c r="A50" s="2"/>
      <c r="B50" t="s">
        <v>76</v>
      </c>
      <c r="H50" s="42"/>
      <c r="J50" s="46">
        <f>K45</f>
        <v>0</v>
      </c>
      <c r="K50" s="45" t="s">
        <v>80</v>
      </c>
      <c r="L50" s="48">
        <f>430000+100000*MAX(J52-1,0)</f>
        <v>430000</v>
      </c>
      <c r="M50" s="45" t="str">
        <f>IF(R34&lt;=L50,K50,IF(R34&lt;=L51,K51,IF(R34&lt;=L52,K52,"軽減なし")))</f>
        <v>7割軽減</v>
      </c>
      <c r="O50" s="55" t="s">
        <v>81</v>
      </c>
      <c r="P50" s="56"/>
      <c r="Q50" s="55" t="s">
        <v>82</v>
      </c>
      <c r="R50" s="56"/>
    </row>
    <row r="51" spans="1:18">
      <c r="A51" s="2"/>
      <c r="B51" t="s">
        <v>83</v>
      </c>
      <c r="H51" s="42"/>
      <c r="J51" s="45" t="s">
        <v>11</v>
      </c>
      <c r="K51" s="45" t="s">
        <v>84</v>
      </c>
      <c r="L51" s="48">
        <f>430000+295000*J50+100000*MAX(J52-1,0)</f>
        <v>430000</v>
      </c>
      <c r="M51" s="45" t="s">
        <v>85</v>
      </c>
      <c r="O51" s="55" t="s">
        <v>86</v>
      </c>
      <c r="P51" s="56"/>
      <c r="Q51" s="52"/>
      <c r="R51" s="54"/>
    </row>
    <row r="52" spans="1:18">
      <c r="A52" s="2"/>
      <c r="B52" t="s">
        <v>72</v>
      </c>
      <c r="H52" s="42"/>
      <c r="J52" s="46">
        <f>L45</f>
        <v>0</v>
      </c>
      <c r="K52" s="45" t="s">
        <v>87</v>
      </c>
      <c r="L52" s="48">
        <f>430000+545000*J50+100000*MAX(J52-1,0)</f>
        <v>430000</v>
      </c>
      <c r="M52" s="45">
        <f>IF(M50="7割軽減",0.3,IF(M50="5割軽減",0.5,IF(M50="2割軽減",0.8,1)))</f>
        <v>0.3</v>
      </c>
    </row>
    <row r="53" spans="1:18">
      <c r="A53" s="2"/>
      <c r="B53" t="s">
        <v>88</v>
      </c>
      <c r="H53" s="42"/>
    </row>
    <row r="54" spans="1:18">
      <c r="A54" s="2"/>
      <c r="B54" t="s">
        <v>89</v>
      </c>
      <c r="H54" s="42"/>
    </row>
    <row r="55" spans="1:18">
      <c r="A55" s="2"/>
      <c r="B55" t="s">
        <v>90</v>
      </c>
      <c r="H55" s="42"/>
    </row>
    <row r="56" spans="1:18">
      <c r="A56" s="2"/>
      <c r="B56" t="s">
        <v>91</v>
      </c>
      <c r="H56" s="42"/>
    </row>
    <row r="57" spans="1:18">
      <c r="A57" s="2"/>
      <c r="B57" t="s">
        <v>38</v>
      </c>
      <c r="H57" s="42"/>
    </row>
    <row r="58" spans="1:18">
      <c r="A58" s="2"/>
      <c r="B58" t="s">
        <v>92</v>
      </c>
      <c r="H58" s="42"/>
    </row>
    <row r="59" spans="1:18">
      <c r="A59" s="4"/>
      <c r="B59" s="10"/>
      <c r="C59" s="10"/>
      <c r="D59" s="10"/>
      <c r="E59" s="10"/>
      <c r="F59" s="10"/>
      <c r="G59" s="10"/>
      <c r="H59" s="43"/>
    </row>
  </sheetData>
  <sheetProtection algorithmName="SHA-512" hashValue="aQUYBc71QI2StMK8iwwlfehqTMqHGwpOTMQAJvIlspxREJKnTPUn0XcJCe07s88VBODF4UyDO2aiplZAYbzirA==" saltValue="ofJfIK/tL9EMqQ0b7RWnqQ==" spinCount="100000" sheet="1" objects="1" scenarios="1"/>
  <mergeCells count="3">
    <mergeCell ref="B2:G2"/>
    <mergeCell ref="B16:B17"/>
    <mergeCell ref="C16:C17"/>
  </mergeCells>
  <phoneticPr fontId="1"/>
  <dataValidations count="2">
    <dataValidation type="list" allowBlank="1" showInputMessage="1" showErrorMessage="1" sqref="C19:C23" xr:uid="{00000000-0002-0000-0000-000000000000}">
      <formula1>$J$16:$J$19</formula1>
    </dataValidation>
    <dataValidation type="list" allowBlank="1" showInputMessage="1" showErrorMessage="1" sqref="C18" xr:uid="{00000000-0002-0000-0000-000001000000}">
      <formula1>$J$16:$J$21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試算</vt:lpstr>
      <vt:lpstr>試算!Print_Area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合田康祐</dc:creator>
  <cp:lastModifiedBy>合田康祐</cp:lastModifiedBy>
  <cp:lastPrinted>2025-02-07T02:04:30Z</cp:lastPrinted>
  <dcterms:created xsi:type="dcterms:W3CDTF">2025-01-28T05:28:17Z</dcterms:created>
  <dcterms:modified xsi:type="dcterms:W3CDTF">2025-02-07T02:16:49Z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2025-01-28T07:52:47Z</vt:filetime>
  </property>
</Properties>
</file>