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joho.local\各課\市民税課\市民税課\国保介護\チラシ・広報いまばり・FM放送・HP\ホームページ\国保\R8\R80623ホームページ修正\"/>
    </mc:Choice>
  </mc:AlternateContent>
  <xr:revisionPtr revIDLastSave="0" documentId="13_ncr:1_{530A27FF-265B-4650-91EB-2503B5655347}" xr6:coauthVersionLast="47" xr6:coauthVersionMax="47" xr10:uidLastSave="{00000000-0000-0000-0000-000000000000}"/>
  <workbookProtection workbookAlgorithmName="SHA-512" workbookHashValue="e/qentrh+8rxrmv5RPAcij+Sp0QcG/ekOTQTWaUj/5e/zzAnKtIUQeAa5Sjn6KeBybr6vKqq2o84FyW8tn/RkA==" workbookSaltValue="+YtlXb7REpP7L7t2hr6XVA==" workbookSpinCount="100000" lockStructure="1"/>
  <bookViews>
    <workbookView xWindow="-120" yWindow="-120" windowWidth="29040" windowHeight="15720" activeTab="1" xr2:uid="{00000000-000D-0000-FFFF-FFFF00000000}"/>
  </bookViews>
  <sheets>
    <sheet name="「試算用入力フォーム」の入力方法" sheetId="2" r:id="rId1"/>
    <sheet name="試算" sheetId="1" r:id="rId2"/>
    <sheet name="収入→所得変換シート"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 i="1" l="1"/>
  <c r="AI12" i="1"/>
  <c r="AI11" i="1"/>
  <c r="AI10" i="1"/>
  <c r="AI9" i="1"/>
  <c r="AI8" i="1"/>
  <c r="AI7" i="1"/>
  <c r="AI6" i="1"/>
  <c r="Q34" i="1"/>
  <c r="Q35" i="1"/>
  <c r="Q36" i="1"/>
  <c r="Q37" i="1"/>
  <c r="Q38" i="1"/>
  <c r="M31" i="1"/>
  <c r="N38" i="1"/>
  <c r="N37" i="1"/>
  <c r="N35" i="1"/>
  <c r="N34" i="1"/>
  <c r="N33" i="1"/>
  <c r="M32" i="1"/>
  <c r="M33" i="1"/>
  <c r="M34" i="1"/>
  <c r="M35" i="1"/>
  <c r="M36" i="1"/>
  <c r="M37" i="1"/>
  <c r="M38" i="1"/>
  <c r="AL9" i="1" l="1"/>
  <c r="AL10" i="1"/>
  <c r="AL11" i="1"/>
  <c r="AL12" i="1"/>
  <c r="AL13" i="1"/>
  <c r="AL8" i="1"/>
  <c r="AL7" i="1"/>
  <c r="AL6" i="1"/>
  <c r="L38" i="1"/>
  <c r="L37" i="1"/>
  <c r="L35" i="1"/>
  <c r="L34" i="1"/>
  <c r="L33" i="1"/>
  <c r="P34" i="1"/>
  <c r="P35" i="1"/>
  <c r="P37" i="1"/>
  <c r="P38" i="1"/>
  <c r="AP7" i="1"/>
  <c r="AP8" i="1"/>
  <c r="AP9" i="1"/>
  <c r="AP10" i="1"/>
  <c r="AP11" i="1"/>
  <c r="AP12" i="1"/>
  <c r="AP13" i="1"/>
  <c r="AP6" i="1"/>
  <c r="V12" i="1"/>
  <c r="U12" i="1" s="1"/>
  <c r="V11" i="1"/>
  <c r="U11" i="1" s="1"/>
  <c r="V10" i="1"/>
  <c r="W10" i="1" s="1"/>
  <c r="V9" i="1"/>
  <c r="W9" i="1" s="1"/>
  <c r="V8" i="1"/>
  <c r="W8" i="1" s="1"/>
  <c r="V7" i="1"/>
  <c r="V13" i="1"/>
  <c r="W13" i="1" s="1"/>
  <c r="V6" i="1"/>
  <c r="E6" i="1" s="1"/>
  <c r="H6" i="1" s="1"/>
  <c r="AJ6" i="1"/>
  <c r="AM6" i="1" s="1"/>
  <c r="AJ7" i="1"/>
  <c r="AJ11" i="1"/>
  <c r="AM11" i="1" s="1"/>
  <c r="E38" i="1" l="1"/>
  <c r="I38" i="1"/>
  <c r="E37" i="1"/>
  <c r="I37" i="1"/>
  <c r="E36" i="1"/>
  <c r="I36" i="1"/>
  <c r="E35" i="1"/>
  <c r="I35" i="1"/>
  <c r="I34" i="1"/>
  <c r="E34" i="1"/>
  <c r="E33" i="1"/>
  <c r="I33" i="1"/>
  <c r="I32" i="1"/>
  <c r="E32" i="1"/>
  <c r="E31" i="1"/>
  <c r="I31" i="1"/>
  <c r="U8" i="1"/>
  <c r="U10" i="1"/>
  <c r="W12" i="1"/>
  <c r="J12" i="1" s="1"/>
  <c r="U9" i="1"/>
  <c r="U13" i="1"/>
  <c r="W11" i="1"/>
  <c r="J10" i="1"/>
  <c r="J13" i="1"/>
  <c r="J9" i="1"/>
  <c r="W7" i="1"/>
  <c r="J7" i="1" s="1"/>
  <c r="J11" i="1" l="1"/>
  <c r="AM7" i="1" l="1"/>
  <c r="AJ8" i="1"/>
  <c r="AM8" i="1" s="1"/>
  <c r="AJ9" i="1"/>
  <c r="AJ10" i="1"/>
  <c r="AM10" i="1" s="1"/>
  <c r="AH11" i="1"/>
  <c r="AJ12" i="1"/>
  <c r="AM12" i="1" s="1"/>
  <c r="AJ13" i="1"/>
  <c r="AH9" i="1" l="1"/>
  <c r="AM9" i="1"/>
  <c r="AH13" i="1"/>
  <c r="AM13" i="1"/>
  <c r="AH7" i="1"/>
  <c r="AH12" i="1"/>
  <c r="AH10" i="1"/>
  <c r="E9" i="1"/>
  <c r="E10" i="1"/>
  <c r="E11" i="1"/>
  <c r="E12" i="1"/>
  <c r="E13" i="1"/>
  <c r="H12" i="1" l="1"/>
  <c r="AH6" i="1"/>
  <c r="AO9" i="1"/>
  <c r="AO11" i="1"/>
  <c r="AN9" i="1"/>
  <c r="AN11" i="1"/>
  <c r="X7" i="1" l="1"/>
  <c r="Q5" i="3" l="1"/>
  <c r="Q6" i="3"/>
  <c r="Q7" i="3"/>
  <c r="M11" i="3"/>
  <c r="S11" i="3"/>
  <c r="Y11" i="3"/>
  <c r="N30" i="3"/>
  <c r="Q30" i="3"/>
  <c r="S30" i="3"/>
  <c r="N33" i="3" l="1"/>
  <c r="Q31" i="3"/>
  <c r="N39" i="3"/>
  <c r="Q36" i="3"/>
  <c r="S33" i="3"/>
  <c r="N31" i="3"/>
  <c r="S38" i="3"/>
  <c r="Q38" i="3"/>
  <c r="S35" i="3"/>
  <c r="Q33" i="3"/>
  <c r="Q35" i="3"/>
  <c r="Q40" i="3"/>
  <c r="S37" i="3"/>
  <c r="N35" i="3"/>
  <c r="Q32" i="3"/>
  <c r="N38" i="3"/>
  <c r="N40" i="3"/>
  <c r="Q37" i="3"/>
  <c r="S34" i="3"/>
  <c r="N32" i="3"/>
  <c r="S40" i="3"/>
  <c r="S39" i="3"/>
  <c r="N37" i="3"/>
  <c r="Q34" i="3"/>
  <c r="S31" i="3"/>
  <c r="N36" i="3"/>
  <c r="S32" i="3"/>
  <c r="Q39" i="3"/>
  <c r="S36" i="3"/>
  <c r="N34" i="3"/>
  <c r="Q42" i="3" l="1"/>
  <c r="N42" i="3"/>
  <c r="S42" i="3"/>
  <c r="T42" i="3" l="1"/>
  <c r="N43" i="3" s="1"/>
  <c r="F11" i="3" s="1"/>
  <c r="F10" i="3" l="1"/>
  <c r="J38" i="1" l="1"/>
  <c r="F38" i="1"/>
  <c r="AM14" i="1"/>
  <c r="AL14" i="1"/>
  <c r="E19" i="1" l="1"/>
  <c r="D19" i="1"/>
  <c r="F19" i="1"/>
  <c r="H9" i="1"/>
  <c r="B34" i="1" s="1"/>
  <c r="J34" i="1" l="1"/>
  <c r="F34" i="1"/>
  <c r="J8" i="1"/>
  <c r="AH8" i="1"/>
  <c r="B19" i="1"/>
  <c r="E8" i="1"/>
  <c r="X11" i="1"/>
  <c r="X10" i="1"/>
  <c r="X9" i="1"/>
  <c r="X8" i="1"/>
  <c r="C21" i="1" l="1"/>
  <c r="AO6" i="1"/>
  <c r="E7" i="1"/>
  <c r="H8" i="1"/>
  <c r="B33" i="1" s="1"/>
  <c r="Q33" i="1" s="1"/>
  <c r="B37" i="1"/>
  <c r="H11" i="1"/>
  <c r="B36" i="1" s="1"/>
  <c r="H10" i="1"/>
  <c r="B35" i="1" s="1"/>
  <c r="H13" i="1"/>
  <c r="B38" i="1" s="1"/>
  <c r="D31" i="1" l="1"/>
  <c r="P31" i="1"/>
  <c r="L32" i="1"/>
  <c r="N36" i="1"/>
  <c r="J36" i="1"/>
  <c r="F36" i="1"/>
  <c r="L36" i="1"/>
  <c r="P36" i="1"/>
  <c r="F35" i="1"/>
  <c r="J35" i="1"/>
  <c r="P32" i="1"/>
  <c r="P33" i="1"/>
  <c r="L31" i="1"/>
  <c r="K31" i="1"/>
  <c r="R31" i="1"/>
  <c r="H31" i="1"/>
  <c r="G31" i="1"/>
  <c r="H7" i="1"/>
  <c r="B32" i="1" s="1"/>
  <c r="Q32" i="1" s="1"/>
  <c r="AO10" i="1"/>
  <c r="H35" i="1" s="1"/>
  <c r="AN10" i="1"/>
  <c r="D35" i="1" s="1"/>
  <c r="AO13" i="1"/>
  <c r="H38" i="1" s="1"/>
  <c r="AN13" i="1"/>
  <c r="D38" i="1" s="1"/>
  <c r="AN12" i="1"/>
  <c r="D37" i="1" s="1"/>
  <c r="H34" i="1"/>
  <c r="AN6" i="1"/>
  <c r="H36" i="1"/>
  <c r="AO7" i="1"/>
  <c r="H32" i="1" s="1"/>
  <c r="AN7" i="1"/>
  <c r="D32" i="1" s="1"/>
  <c r="AO8" i="1"/>
  <c r="H33" i="1" s="1"/>
  <c r="AN8" i="1"/>
  <c r="D33" i="1" s="1"/>
  <c r="D34" i="1"/>
  <c r="D36" i="1"/>
  <c r="AO12" i="1"/>
  <c r="H37" i="1" s="1"/>
  <c r="F37" i="1"/>
  <c r="J37" i="1"/>
  <c r="N32" i="1" l="1"/>
  <c r="J32" i="1"/>
  <c r="F32" i="1"/>
  <c r="F33" i="1"/>
  <c r="J33" i="1"/>
  <c r="U6" i="1" l="1"/>
  <c r="W6" i="1" s="1"/>
  <c r="U7" i="1"/>
  <c r="J6" i="1" l="1"/>
  <c r="B31" i="1"/>
  <c r="Q31" i="1" l="1"/>
  <c r="P39" i="1" s="1"/>
  <c r="F31" i="1"/>
  <c r="D39" i="1" s="1"/>
  <c r="J31" i="1"/>
  <c r="H39" i="1" s="1"/>
  <c r="N31" i="1"/>
  <c r="O31" i="1" l="1"/>
  <c r="L39" i="1" s="1"/>
  <c r="D25" i="1" s="1"/>
  <c r="D27" i="1" l="1"/>
  <c r="D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成瀬 雅子</author>
  </authors>
  <commentList>
    <comment ref="F6" authorId="0" shapeId="0" xr:uid="{00000000-0006-0000-0100-000001000000}">
      <text>
        <r>
          <rPr>
            <sz val="10"/>
            <color indexed="81"/>
            <rFont val="MS P ゴシック"/>
            <family val="3"/>
            <charset val="128"/>
          </rPr>
          <t>所得額が不明の場合は</t>
        </r>
        <r>
          <rPr>
            <b/>
            <sz val="10"/>
            <color indexed="81"/>
            <rFont val="MS P ゴシック"/>
            <family val="3"/>
            <charset val="128"/>
          </rPr>
          <t>「収入→所得変換シート」</t>
        </r>
        <r>
          <rPr>
            <sz val="10"/>
            <color indexed="81"/>
            <rFont val="MS P ゴシック"/>
            <family val="3"/>
            <charset val="128"/>
          </rPr>
          <t>をお使いください。</t>
        </r>
      </text>
    </comment>
    <comment ref="F7" authorId="0" shapeId="0" xr:uid="{00000000-0006-0000-0100-000002000000}">
      <text>
        <r>
          <rPr>
            <sz val="10"/>
            <color indexed="81"/>
            <rFont val="MS P ゴシック"/>
            <family val="3"/>
            <charset val="128"/>
          </rPr>
          <t>所得額が不明の場合は</t>
        </r>
        <r>
          <rPr>
            <b/>
            <sz val="10"/>
            <color indexed="81"/>
            <rFont val="MS P ゴシック"/>
            <family val="3"/>
            <charset val="128"/>
          </rPr>
          <t>「収入→所得変換シート」</t>
        </r>
        <r>
          <rPr>
            <sz val="10"/>
            <color indexed="81"/>
            <rFont val="MS P ゴシック"/>
            <family val="3"/>
            <charset val="128"/>
          </rPr>
          <t>をお使いください。</t>
        </r>
      </text>
    </comment>
    <comment ref="F8" authorId="0" shapeId="0" xr:uid="{00000000-0006-0000-0100-000003000000}">
      <text>
        <r>
          <rPr>
            <sz val="10"/>
            <color indexed="81"/>
            <rFont val="MS P ゴシック"/>
            <family val="3"/>
            <charset val="128"/>
          </rPr>
          <t>所得額が不明の場合は</t>
        </r>
        <r>
          <rPr>
            <b/>
            <sz val="10"/>
            <color indexed="81"/>
            <rFont val="MS P ゴシック"/>
            <family val="3"/>
            <charset val="128"/>
          </rPr>
          <t>「収入→所得変換シート」</t>
        </r>
        <r>
          <rPr>
            <sz val="10"/>
            <color indexed="81"/>
            <rFont val="MS P ゴシック"/>
            <family val="3"/>
            <charset val="128"/>
          </rPr>
          <t>をお使いください。</t>
        </r>
      </text>
    </comment>
    <comment ref="F9" authorId="0" shapeId="0" xr:uid="{00000000-0006-0000-0100-000004000000}">
      <text>
        <r>
          <rPr>
            <sz val="10"/>
            <color indexed="81"/>
            <rFont val="MS P ゴシック"/>
            <family val="3"/>
            <charset val="128"/>
          </rPr>
          <t>所得額が不明の場合は</t>
        </r>
        <r>
          <rPr>
            <b/>
            <sz val="10"/>
            <color indexed="81"/>
            <rFont val="MS P ゴシック"/>
            <family val="3"/>
            <charset val="128"/>
          </rPr>
          <t>「収入→所得変換シート」</t>
        </r>
        <r>
          <rPr>
            <sz val="10"/>
            <color indexed="81"/>
            <rFont val="MS P ゴシック"/>
            <family val="3"/>
            <charset val="128"/>
          </rPr>
          <t>をお使いください。</t>
        </r>
      </text>
    </comment>
    <comment ref="F10" authorId="0" shapeId="0" xr:uid="{00000000-0006-0000-0100-000005000000}">
      <text>
        <r>
          <rPr>
            <sz val="10"/>
            <color indexed="81"/>
            <rFont val="MS P ゴシック"/>
            <family val="3"/>
            <charset val="128"/>
          </rPr>
          <t>所得額が不明の場合は</t>
        </r>
        <r>
          <rPr>
            <b/>
            <sz val="10"/>
            <color indexed="81"/>
            <rFont val="MS P ゴシック"/>
            <family val="3"/>
            <charset val="128"/>
          </rPr>
          <t>「収入→所得変換シート」</t>
        </r>
        <r>
          <rPr>
            <sz val="10"/>
            <color indexed="81"/>
            <rFont val="MS P ゴシック"/>
            <family val="3"/>
            <charset val="128"/>
          </rPr>
          <t>をお使いください。</t>
        </r>
      </text>
    </comment>
    <comment ref="F11" authorId="0" shapeId="0" xr:uid="{00000000-0006-0000-0100-000006000000}">
      <text>
        <r>
          <rPr>
            <sz val="10"/>
            <color indexed="81"/>
            <rFont val="MS P ゴシック"/>
            <family val="3"/>
            <charset val="128"/>
          </rPr>
          <t>所得額が不明の場合は</t>
        </r>
        <r>
          <rPr>
            <b/>
            <sz val="10"/>
            <color indexed="81"/>
            <rFont val="MS P ゴシック"/>
            <family val="3"/>
            <charset val="128"/>
          </rPr>
          <t>「収入→所得変換シート」</t>
        </r>
        <r>
          <rPr>
            <sz val="10"/>
            <color indexed="81"/>
            <rFont val="MS P ゴシック"/>
            <family val="3"/>
            <charset val="128"/>
          </rPr>
          <t>をお使いください。</t>
        </r>
      </text>
    </comment>
    <comment ref="F12" authorId="0" shapeId="0" xr:uid="{00000000-0006-0000-0100-000007000000}">
      <text>
        <r>
          <rPr>
            <sz val="10"/>
            <color indexed="81"/>
            <rFont val="MS P ゴシック"/>
            <family val="3"/>
            <charset val="128"/>
          </rPr>
          <t>所得額が不明の場合は</t>
        </r>
        <r>
          <rPr>
            <b/>
            <sz val="10"/>
            <color indexed="81"/>
            <rFont val="MS P ゴシック"/>
            <family val="3"/>
            <charset val="128"/>
          </rPr>
          <t>「収入→所得変換シート」</t>
        </r>
        <r>
          <rPr>
            <sz val="10"/>
            <color indexed="81"/>
            <rFont val="MS P ゴシック"/>
            <family val="3"/>
            <charset val="128"/>
          </rPr>
          <t>をお使いください。</t>
        </r>
      </text>
    </comment>
    <comment ref="F13" authorId="0" shapeId="0" xr:uid="{00000000-0006-0000-0100-000008000000}">
      <text>
        <r>
          <rPr>
            <sz val="10"/>
            <color indexed="81"/>
            <rFont val="MS P ゴシック"/>
            <family val="3"/>
            <charset val="128"/>
          </rPr>
          <t>所得額が不明の場合は</t>
        </r>
        <r>
          <rPr>
            <b/>
            <sz val="10"/>
            <color indexed="81"/>
            <rFont val="MS P ゴシック"/>
            <family val="3"/>
            <charset val="128"/>
          </rPr>
          <t>「収入→所得変換シート」</t>
        </r>
        <r>
          <rPr>
            <sz val="10"/>
            <color indexed="81"/>
            <rFont val="MS P ゴシック"/>
            <family val="3"/>
            <charset val="128"/>
          </rPr>
          <t>をお使いください。</t>
        </r>
      </text>
    </comment>
  </commentList>
</comments>
</file>

<file path=xl/sharedStrings.xml><?xml version="1.0" encoding="utf-8"?>
<sst xmlns="http://schemas.openxmlformats.org/spreadsheetml/2006/main" count="298" uniqueCount="196">
  <si>
    <t>世帯構成</t>
    <rPh sb="0" eb="2">
      <t>セタイ</t>
    </rPh>
    <rPh sb="2" eb="4">
      <t>コウセイ</t>
    </rPh>
    <phoneticPr fontId="2"/>
  </si>
  <si>
    <t>加入状況・年齢区分</t>
  </si>
  <si>
    <t>加入状況・年齢区分</t>
    <rPh sb="0" eb="2">
      <t>カニュウ</t>
    </rPh>
    <rPh sb="2" eb="4">
      <t>ジョウキョウ</t>
    </rPh>
    <rPh sb="5" eb="7">
      <t>ネンレイ</t>
    </rPh>
    <rPh sb="7" eb="9">
      <t>クブン</t>
    </rPh>
    <phoneticPr fontId="2"/>
  </si>
  <si>
    <t>前年の収入・所得情報</t>
    <rPh sb="0" eb="2">
      <t>ゼンネン</t>
    </rPh>
    <rPh sb="3" eb="5">
      <t>シュウニュウ</t>
    </rPh>
    <rPh sb="6" eb="8">
      <t>ショトク</t>
    </rPh>
    <rPh sb="8" eb="10">
      <t>ジョウホウ</t>
    </rPh>
    <phoneticPr fontId="2"/>
  </si>
  <si>
    <t>給与収入</t>
    <rPh sb="0" eb="2">
      <t>キュウヨ</t>
    </rPh>
    <rPh sb="2" eb="4">
      <t>シュウニュウ</t>
    </rPh>
    <phoneticPr fontId="2"/>
  </si>
  <si>
    <t>退職理由</t>
    <rPh sb="0" eb="2">
      <t>タイショク</t>
    </rPh>
    <rPh sb="2" eb="4">
      <t>リユウ</t>
    </rPh>
    <phoneticPr fontId="2"/>
  </si>
  <si>
    <t>世帯主</t>
    <rPh sb="0" eb="3">
      <t>セタイヌシ</t>
    </rPh>
    <phoneticPr fontId="2"/>
  </si>
  <si>
    <t>世帯員１</t>
    <rPh sb="0" eb="3">
      <t>セタイイン</t>
    </rPh>
    <phoneticPr fontId="2"/>
  </si>
  <si>
    <t>世帯員２</t>
    <rPh sb="0" eb="3">
      <t>セタイイン</t>
    </rPh>
    <phoneticPr fontId="2"/>
  </si>
  <si>
    <t>世帯員３</t>
    <rPh sb="0" eb="3">
      <t>セタイイン</t>
    </rPh>
    <phoneticPr fontId="2"/>
  </si>
  <si>
    <t>世帯員４</t>
    <rPh sb="0" eb="3">
      <t>セタイイン</t>
    </rPh>
    <phoneticPr fontId="2"/>
  </si>
  <si>
    <t>世帯員５</t>
    <rPh sb="0" eb="3">
      <t>セタイイン</t>
    </rPh>
    <phoneticPr fontId="2"/>
  </si>
  <si>
    <t>世帯員６</t>
    <rPh sb="0" eb="3">
      <t>セタイイン</t>
    </rPh>
    <phoneticPr fontId="2"/>
  </si>
  <si>
    <t>世帯員７</t>
    <rPh sb="0" eb="3">
      <t>セタイイン</t>
    </rPh>
    <phoneticPr fontId="2"/>
  </si>
  <si>
    <t>円</t>
    <rPh sb="0" eb="1">
      <t>エン</t>
    </rPh>
    <phoneticPr fontId="2"/>
  </si>
  <si>
    <t>未加入　64歳以下</t>
  </si>
  <si>
    <t>加入　39歳以下</t>
  </si>
  <si>
    <t>加入　40歳以上64歳以下</t>
  </si>
  <si>
    <t>加入　65歳以上74歳以下</t>
  </si>
  <si>
    <t>未加入　65歳以上</t>
  </si>
  <si>
    <t>給与等の収入金額
（給与所得の源泉徴収票の支払金額）</t>
    <rPh sb="2" eb="3">
      <t>トウ</t>
    </rPh>
    <rPh sb="4" eb="6">
      <t>シュウニュウ</t>
    </rPh>
    <rPh sb="6" eb="8">
      <t>キンガク</t>
    </rPh>
    <rPh sb="10" eb="12">
      <t>キュウヨ</t>
    </rPh>
    <rPh sb="12" eb="14">
      <t>ショトク</t>
    </rPh>
    <rPh sb="15" eb="17">
      <t>ゲンセン</t>
    </rPh>
    <rPh sb="17" eb="19">
      <t>チョウシュウ</t>
    </rPh>
    <rPh sb="19" eb="20">
      <t>ヒョウ</t>
    </rPh>
    <rPh sb="21" eb="23">
      <t>シハライ</t>
    </rPh>
    <rPh sb="23" eb="25">
      <t>キンガク</t>
    </rPh>
    <phoneticPr fontId="2"/>
  </si>
  <si>
    <t>～</t>
    <phoneticPr fontId="2"/>
  </si>
  <si>
    <t>以下</t>
    <rPh sb="0" eb="2">
      <t>イカ</t>
    </rPh>
    <phoneticPr fontId="2"/>
  </si>
  <si>
    <t>円超</t>
    <rPh sb="0" eb="1">
      <t>エン</t>
    </rPh>
    <rPh sb="1" eb="2">
      <t>チョウ</t>
    </rPh>
    <phoneticPr fontId="2"/>
  </si>
  <si>
    <t>　収入金額</t>
    <phoneticPr fontId="2"/>
  </si>
  <si>
    <t>×</t>
    <phoneticPr fontId="2"/>
  </si>
  <si>
    <t>＋</t>
    <phoneticPr fontId="2"/>
  </si>
  <si>
    <t>円 （上限）</t>
    <phoneticPr fontId="2"/>
  </si>
  <si>
    <t>給与所得控除額</t>
    <phoneticPr fontId="2"/>
  </si>
  <si>
    <t>自己都合</t>
    <rPh sb="0" eb="2">
      <t>ジコ</t>
    </rPh>
    <rPh sb="2" eb="4">
      <t>ツゴウ</t>
    </rPh>
    <phoneticPr fontId="2"/>
  </si>
  <si>
    <t>会社都合</t>
    <rPh sb="0" eb="2">
      <t>カイシャ</t>
    </rPh>
    <rPh sb="2" eb="4">
      <t>ツゴウ</t>
    </rPh>
    <phoneticPr fontId="2"/>
  </si>
  <si>
    <t>軽減判定所得</t>
    <rPh sb="0" eb="2">
      <t>ケイゲン</t>
    </rPh>
    <rPh sb="2" eb="4">
      <t>ハンテイ</t>
    </rPh>
    <rPh sb="4" eb="6">
      <t>ショトク</t>
    </rPh>
    <phoneticPr fontId="2"/>
  </si>
  <si>
    <t>7割</t>
    <rPh sb="1" eb="2">
      <t>ワリ</t>
    </rPh>
    <phoneticPr fontId="2"/>
  </si>
  <si>
    <t>調整控除額</t>
  </si>
  <si>
    <t>給与所得</t>
    <phoneticPr fontId="2"/>
  </si>
  <si>
    <t>調整控除後
給与所得</t>
    <rPh sb="4" eb="5">
      <t>ゴ</t>
    </rPh>
    <phoneticPr fontId="2"/>
  </si>
  <si>
    <t>被保険者</t>
    <rPh sb="0" eb="4">
      <t>ヒホケンシャ</t>
    </rPh>
    <phoneticPr fontId="2"/>
  </si>
  <si>
    <t>5割</t>
    <rPh sb="1" eb="2">
      <t>ワリ</t>
    </rPh>
    <phoneticPr fontId="2"/>
  </si>
  <si>
    <t>2割</t>
    <rPh sb="1" eb="2">
      <t>ワリ</t>
    </rPh>
    <phoneticPr fontId="2"/>
  </si>
  <si>
    <t>軽減割合</t>
    <rPh sb="0" eb="2">
      <t>ケイゲン</t>
    </rPh>
    <rPh sb="2" eb="4">
      <t>ワリアイ</t>
    </rPh>
    <phoneticPr fontId="2"/>
  </si>
  <si>
    <t>医療分</t>
    <rPh sb="0" eb="2">
      <t>イリョウ</t>
    </rPh>
    <rPh sb="2" eb="3">
      <t>ブン</t>
    </rPh>
    <phoneticPr fontId="2"/>
  </si>
  <si>
    <t>支援分</t>
    <rPh sb="0" eb="2">
      <t>シエン</t>
    </rPh>
    <rPh sb="2" eb="3">
      <t>ブン</t>
    </rPh>
    <phoneticPr fontId="2"/>
  </si>
  <si>
    <t>介護分</t>
    <rPh sb="0" eb="2">
      <t>カイゴ</t>
    </rPh>
    <rPh sb="2" eb="3">
      <t>ブン</t>
    </rPh>
    <phoneticPr fontId="2"/>
  </si>
  <si>
    <t>均等割</t>
    <rPh sb="0" eb="3">
      <t>キントウワリ</t>
    </rPh>
    <phoneticPr fontId="2"/>
  </si>
  <si>
    <t>平等割</t>
    <rPh sb="0" eb="2">
      <t>ビョウドウ</t>
    </rPh>
    <rPh sb="2" eb="3">
      <t>ワリ</t>
    </rPh>
    <phoneticPr fontId="2"/>
  </si>
  <si>
    <t>所得割</t>
    <rPh sb="0" eb="2">
      <t>ショトク</t>
    </rPh>
    <rPh sb="2" eb="3">
      <t>ワリ</t>
    </rPh>
    <phoneticPr fontId="2"/>
  </si>
  <si>
    <t>年間保険税額</t>
    <rPh sb="0" eb="2">
      <t>ネンカン</t>
    </rPh>
    <rPh sb="2" eb="4">
      <t>ホケン</t>
    </rPh>
    <rPh sb="4" eb="5">
      <t>ゼイ</t>
    </rPh>
    <rPh sb="5" eb="6">
      <t>ガク</t>
    </rPh>
    <phoneticPr fontId="2"/>
  </si>
  <si>
    <t>1期あたり</t>
    <rPh sb="1" eb="2">
      <t>キ</t>
    </rPh>
    <phoneticPr fontId="2"/>
  </si>
  <si>
    <t>保険税額（賦課限度額を上限）
※100円未満は切り捨て</t>
    <rPh sb="0" eb="2">
      <t>ホケン</t>
    </rPh>
    <rPh sb="2" eb="3">
      <t>ゼイ</t>
    </rPh>
    <rPh sb="3" eb="4">
      <t>ガク</t>
    </rPh>
    <rPh sb="5" eb="7">
      <t>フカ</t>
    </rPh>
    <rPh sb="7" eb="9">
      <t>ゲンド</t>
    </rPh>
    <rPh sb="9" eb="10">
      <t>ガク</t>
    </rPh>
    <rPh sb="11" eb="13">
      <t>ジョウゲン</t>
    </rPh>
    <rPh sb="19" eb="20">
      <t>エン</t>
    </rPh>
    <rPh sb="20" eb="22">
      <t>ミマン</t>
    </rPh>
    <rPh sb="23" eb="24">
      <t>キ</t>
    </rPh>
    <rPh sb="25" eb="26">
      <t>ス</t>
    </rPh>
    <phoneticPr fontId="2"/>
  </si>
  <si>
    <t>1か月あたり</t>
    <rPh sb="2" eb="3">
      <t>ゲツ</t>
    </rPh>
    <phoneticPr fontId="2"/>
  </si>
  <si>
    <t>該当なし</t>
    <rPh sb="0" eb="2">
      <t>ガイトウ</t>
    </rPh>
    <phoneticPr fontId="2"/>
  </si>
  <si>
    <t>区　　分</t>
    <rPh sb="0" eb="1">
      <t>ク</t>
    </rPh>
    <rPh sb="3" eb="4">
      <t>ブン</t>
    </rPh>
    <phoneticPr fontId="6"/>
  </si>
  <si>
    <t>均等割額</t>
    <phoneticPr fontId="6"/>
  </si>
  <si>
    <t>平等割額</t>
    <phoneticPr fontId="6"/>
  </si>
  <si>
    <t>所　得　割　額</t>
    <phoneticPr fontId="6"/>
  </si>
  <si>
    <t>医　療　分</t>
    <phoneticPr fontId="6"/>
  </si>
  <si>
    <t>支　援　分</t>
    <phoneticPr fontId="6"/>
  </si>
  <si>
    <t>介護保険分</t>
  </si>
  <si>
    <t>公的年金等に係る雑所得・退職所得　算出表</t>
    <rPh sb="0" eb="2">
      <t>コウテキ</t>
    </rPh>
    <rPh sb="2" eb="4">
      <t>ネンキン</t>
    </rPh>
    <rPh sb="4" eb="5">
      <t>トウ</t>
    </rPh>
    <rPh sb="6" eb="7">
      <t>カカ</t>
    </rPh>
    <rPh sb="8" eb="11">
      <t>ザツショトク</t>
    </rPh>
    <rPh sb="12" eb="14">
      <t>タイショク</t>
    </rPh>
    <rPh sb="14" eb="16">
      <t>ショトク</t>
    </rPh>
    <rPh sb="17" eb="19">
      <t>サンシュツ</t>
    </rPh>
    <rPh sb="19" eb="20">
      <t>ヒョウ</t>
    </rPh>
    <phoneticPr fontId="2"/>
  </si>
  <si>
    <t>１．公的年金等に係る雑所得</t>
    <rPh sb="2" eb="4">
      <t>コウテキ</t>
    </rPh>
    <rPh sb="4" eb="6">
      <t>ネンキン</t>
    </rPh>
    <rPh sb="6" eb="7">
      <t>トウ</t>
    </rPh>
    <rPh sb="8" eb="9">
      <t>カカ</t>
    </rPh>
    <rPh sb="10" eb="13">
      <t>ザツショトク</t>
    </rPh>
    <phoneticPr fontId="2"/>
  </si>
  <si>
    <t>その年中の公的年金等の収入（見積額）</t>
    <rPh sb="2" eb="3">
      <t>トシ</t>
    </rPh>
    <rPh sb="3" eb="4">
      <t>ジュウ</t>
    </rPh>
    <rPh sb="5" eb="7">
      <t>コウテキ</t>
    </rPh>
    <rPh sb="7" eb="9">
      <t>ネンキン</t>
    </rPh>
    <rPh sb="9" eb="10">
      <t>トウ</t>
    </rPh>
    <rPh sb="11" eb="13">
      <t>シュウニュウ</t>
    </rPh>
    <rPh sb="14" eb="16">
      <t>ミツモ</t>
    </rPh>
    <rPh sb="16" eb="17">
      <t>ガク</t>
    </rPh>
    <phoneticPr fontId="2"/>
  </si>
  <si>
    <t>65歳以上</t>
    <rPh sb="2" eb="3">
      <t>サイ</t>
    </rPh>
    <rPh sb="3" eb="5">
      <t>イジョウ</t>
    </rPh>
    <phoneticPr fontId="2"/>
  </si>
  <si>
    <t>1,000万円以下</t>
    <rPh sb="5" eb="7">
      <t>マンエン</t>
    </rPh>
    <rPh sb="7" eb="9">
      <t>イカ</t>
    </rPh>
    <phoneticPr fontId="2"/>
  </si>
  <si>
    <t>公的年金等控除額</t>
    <rPh sb="0" eb="2">
      <t>コウテキ</t>
    </rPh>
    <rPh sb="2" eb="4">
      <t>ネンキン</t>
    </rPh>
    <rPh sb="4" eb="5">
      <t>トウ</t>
    </rPh>
    <rPh sb="5" eb="7">
      <t>コウジョ</t>
    </rPh>
    <rPh sb="7" eb="8">
      <t>ガク</t>
    </rPh>
    <phoneticPr fontId="2"/>
  </si>
  <si>
    <t>公的年金等に係る雑所得以外の所得に係る合計所得金額</t>
    <phoneticPr fontId="2"/>
  </si>
  <si>
    <t>64歳以下</t>
    <rPh sb="2" eb="3">
      <t>サイ</t>
    </rPh>
    <rPh sb="3" eb="5">
      <t>イカ</t>
    </rPh>
    <phoneticPr fontId="2"/>
  </si>
  <si>
    <t>1,000万円超2,000万円以下</t>
    <rPh sb="5" eb="7">
      <t>マンエン</t>
    </rPh>
    <rPh sb="7" eb="8">
      <t>チョウ</t>
    </rPh>
    <rPh sb="13" eb="15">
      <t>マンエン</t>
    </rPh>
    <rPh sb="15" eb="17">
      <t>イカ</t>
    </rPh>
    <phoneticPr fontId="2"/>
  </si>
  <si>
    <t>2,000万円超</t>
    <rPh sb="5" eb="7">
      <t>マンエン</t>
    </rPh>
    <rPh sb="7" eb="8">
      <t>チョウ</t>
    </rPh>
    <phoneticPr fontId="2"/>
  </si>
  <si>
    <t>　（公的年金等控除額）</t>
  </si>
  <si>
    <t>受給者の区分</t>
    <rPh sb="0" eb="3">
      <t>ジュキュウシャ</t>
    </rPh>
    <rPh sb="4" eb="6">
      <t>クブン</t>
    </rPh>
    <phoneticPr fontId="2"/>
  </si>
  <si>
    <t>受給者の区分その年中の
公的年金等の収入金額（A）</t>
    <phoneticPr fontId="2"/>
  </si>
  <si>
    <t>控除額</t>
    <rPh sb="0" eb="2">
      <t>コウジョ</t>
    </rPh>
    <rPh sb="2" eb="3">
      <t>ガク</t>
    </rPh>
    <phoneticPr fontId="2"/>
  </si>
  <si>
    <t>110万円</t>
    <phoneticPr fontId="2"/>
  </si>
  <si>
    <t>100万円</t>
    <phoneticPr fontId="2"/>
  </si>
  <si>
    <t>90万円</t>
    <phoneticPr fontId="2"/>
  </si>
  <si>
    <t>（A）×25％＋ 27万5,000円</t>
    <phoneticPr fontId="2"/>
  </si>
  <si>
    <t>（A）×25％＋ 17万5,000円</t>
    <phoneticPr fontId="2"/>
  </si>
  <si>
    <t>（A）×25％＋ 7万5,000円</t>
    <phoneticPr fontId="2"/>
  </si>
  <si>
    <t>（A）×15％＋ 68万5,000円</t>
    <phoneticPr fontId="2"/>
  </si>
  <si>
    <t>（A）×15％＋ 58万5,000円</t>
    <phoneticPr fontId="2"/>
  </si>
  <si>
    <t>（A）×15％＋ 48万5,000円</t>
    <phoneticPr fontId="2"/>
  </si>
  <si>
    <t>（A）× 5％＋145万5,000円</t>
    <phoneticPr fontId="2"/>
  </si>
  <si>
    <t>（A）× 5％＋135万5,000円</t>
    <phoneticPr fontId="2"/>
  </si>
  <si>
    <t>（A）× 5％＋125万5,000円</t>
    <phoneticPr fontId="2"/>
  </si>
  <si>
    <t>195万5,000円</t>
    <rPh sb="9" eb="10">
      <t>エン</t>
    </rPh>
    <phoneticPr fontId="2"/>
  </si>
  <si>
    <t>185万5,000円</t>
    <rPh sb="9" eb="10">
      <t>エン</t>
    </rPh>
    <phoneticPr fontId="2"/>
  </si>
  <si>
    <t>175万5,000円</t>
    <rPh sb="9" eb="10">
      <t>エン</t>
    </rPh>
    <phoneticPr fontId="2"/>
  </si>
  <si>
    <t>60万円</t>
    <phoneticPr fontId="2"/>
  </si>
  <si>
    <t>50万円</t>
    <phoneticPr fontId="2"/>
  </si>
  <si>
    <t>40万円</t>
    <phoneticPr fontId="2"/>
  </si>
  <si>
    <t>～</t>
  </si>
  <si>
    <t>【雑所得】</t>
    <phoneticPr fontId="2"/>
  </si>
  <si>
    <t>　原稿料や印税、講演料、放送出演料、貸金の利子、生命保険契約等に基づく年金など他のいずれの所得にも該当しない</t>
    <phoneticPr fontId="2"/>
  </si>
  <si>
    <t>所得や恩給（一時恩給を除きます。）、国民年金、厚生年金、共済年金などの公的年金等は、雑所得となります。</t>
  </si>
  <si>
    <t>公的年金等に係る雑所得：収入金額から公的年金等控除額を控除した残額</t>
    <phoneticPr fontId="2"/>
  </si>
  <si>
    <t>公的年金等に
係る雑所得の金額</t>
    <rPh sb="0" eb="2">
      <t>コウテキ</t>
    </rPh>
    <rPh sb="2" eb="4">
      <t>ネンキン</t>
    </rPh>
    <rPh sb="4" eb="5">
      <t>トウ</t>
    </rPh>
    <rPh sb="7" eb="8">
      <t>カカ</t>
    </rPh>
    <rPh sb="9" eb="12">
      <t>ザツショトク</t>
    </rPh>
    <rPh sb="13" eb="15">
      <t>キンガク</t>
    </rPh>
    <phoneticPr fontId="2"/>
  </si>
  <si>
    <t>入力箇所</t>
    <rPh sb="0" eb="2">
      <t>ニュウリョク</t>
    </rPh>
    <rPh sb="2" eb="4">
      <t>カショ</t>
    </rPh>
    <phoneticPr fontId="2"/>
  </si>
  <si>
    <t>限度額</t>
    <rPh sb="0" eb="2">
      <t>ゲンド</t>
    </rPh>
    <rPh sb="2" eb="3">
      <t>ガク</t>
    </rPh>
    <phoneticPr fontId="2"/>
  </si>
  <si>
    <t>年齢（１月１日現在）</t>
    <rPh sb="0" eb="2">
      <t>ネンレイ</t>
    </rPh>
    <rPh sb="4" eb="5">
      <t>ガツ</t>
    </rPh>
    <rPh sb="6" eb="9">
      <t>ニチゲンザイ</t>
    </rPh>
    <phoneticPr fontId="2"/>
  </si>
  <si>
    <r>
      <t>給与所得</t>
    </r>
    <r>
      <rPr>
        <b/>
        <sz val="11"/>
        <color theme="1"/>
        <rFont val="游ゴシック"/>
        <family val="3"/>
        <charset val="128"/>
        <scheme val="minor"/>
      </rPr>
      <t>（Ａ）</t>
    </r>
    <r>
      <rPr>
        <sz val="11"/>
        <color theme="1"/>
        <rFont val="游ゴシック"/>
        <family val="3"/>
        <charset val="128"/>
        <scheme val="minor"/>
      </rPr>
      <t xml:space="preserve">
</t>
    </r>
    <r>
      <rPr>
        <sz val="9"/>
        <color theme="1"/>
        <rFont val="游ゴシック"/>
        <family val="3"/>
        <charset val="128"/>
        <scheme val="minor"/>
      </rPr>
      <t>※会社都合による退職の場合は給与所得の30％</t>
    </r>
    <rPh sb="0" eb="2">
      <t>キュウヨ</t>
    </rPh>
    <rPh sb="2" eb="4">
      <t>ショトク</t>
    </rPh>
    <rPh sb="9" eb="11">
      <t>カイシャ</t>
    </rPh>
    <rPh sb="11" eb="13">
      <t>ツゴウ</t>
    </rPh>
    <rPh sb="16" eb="18">
      <t>タイショク</t>
    </rPh>
    <rPh sb="19" eb="21">
      <t>バアイ</t>
    </rPh>
    <rPh sb="22" eb="24">
      <t>キュウヨ</t>
    </rPh>
    <rPh sb="24" eb="26">
      <t>ショトク</t>
    </rPh>
    <phoneticPr fontId="2"/>
  </si>
  <si>
    <r>
      <t>その他の所得</t>
    </r>
    <r>
      <rPr>
        <b/>
        <sz val="11"/>
        <color theme="1"/>
        <rFont val="游ゴシック"/>
        <family val="3"/>
        <charset val="128"/>
        <scheme val="minor"/>
      </rPr>
      <t>（Ｃ）</t>
    </r>
    <rPh sb="2" eb="3">
      <t>タ</t>
    </rPh>
    <rPh sb="4" eb="6">
      <t>ショトク</t>
    </rPh>
    <phoneticPr fontId="2"/>
  </si>
  <si>
    <t>「世帯主」欄</t>
    <rPh sb="1" eb="4">
      <t>セタイヌシ</t>
    </rPh>
    <rPh sb="5" eb="6">
      <t>ラン</t>
    </rPh>
    <phoneticPr fontId="11"/>
  </si>
  <si>
    <t>「世帯員１～７」欄</t>
    <rPh sb="1" eb="4">
      <t>セタイイン</t>
    </rPh>
    <rPh sb="8" eb="9">
      <t>ラン</t>
    </rPh>
    <phoneticPr fontId="11"/>
  </si>
  <si>
    <t>試算にあたっての注意事項</t>
    <rPh sb="0" eb="2">
      <t>シサン</t>
    </rPh>
    <rPh sb="8" eb="10">
      <t>チュウイ</t>
    </rPh>
    <rPh sb="10" eb="12">
      <t>ジコウ</t>
    </rPh>
    <phoneticPr fontId="11"/>
  </si>
  <si>
    <t>１</t>
    <phoneticPr fontId="11"/>
  </si>
  <si>
    <t>２</t>
    <phoneticPr fontId="11"/>
  </si>
  <si>
    <t>　次の場合は、正しく試算できない場合があります。</t>
    <phoneticPr fontId="11"/>
  </si>
  <si>
    <t>３</t>
    <phoneticPr fontId="11"/>
  </si>
  <si>
    <t>(1) 離職時の年齢が65歳未満</t>
    <rPh sb="4" eb="6">
      <t>リショク</t>
    </rPh>
    <rPh sb="6" eb="7">
      <t>トキ</t>
    </rPh>
    <rPh sb="8" eb="10">
      <t>ネンレイ</t>
    </rPh>
    <phoneticPr fontId="11"/>
  </si>
  <si>
    <t>(2) 雇用保険受給資格者証に記載されている離職理由コードが「11・12・21・22・23・31・32・33・34」に該当している</t>
    <rPh sb="15" eb="17">
      <t>キサイ</t>
    </rPh>
    <phoneticPr fontId="11"/>
  </si>
  <si>
    <t>などの条件があり、届出が必要となります。詳しくはお問い合わせください。</t>
    <phoneticPr fontId="11"/>
  </si>
  <si>
    <t>　試算結果は概算であり、実際の保険税とは異なる場合がありますので、目安としてご利用ください。</t>
    <rPh sb="1" eb="3">
      <t>シサン</t>
    </rPh>
    <rPh sb="3" eb="5">
      <t>ケッカ</t>
    </rPh>
    <rPh sb="6" eb="8">
      <t>ガイサン</t>
    </rPh>
    <rPh sb="12" eb="14">
      <t>ジッサイ</t>
    </rPh>
    <rPh sb="15" eb="17">
      <t>ホケン</t>
    </rPh>
    <rPh sb="17" eb="18">
      <t>ゼイ</t>
    </rPh>
    <rPh sb="20" eb="21">
      <t>コト</t>
    </rPh>
    <rPh sb="23" eb="25">
      <t>バアイ</t>
    </rPh>
    <rPh sb="33" eb="35">
      <t>メヤス</t>
    </rPh>
    <rPh sb="39" eb="41">
      <t>リヨウ</t>
    </rPh>
    <phoneticPr fontId="11"/>
  </si>
  <si>
    <t>試　算　結　果</t>
    <rPh sb="0" eb="1">
      <t>タメシ</t>
    </rPh>
    <rPh sb="2" eb="3">
      <t>サン</t>
    </rPh>
    <rPh sb="4" eb="5">
      <t>ケツ</t>
    </rPh>
    <rPh sb="6" eb="7">
      <t>ハテ</t>
    </rPh>
    <phoneticPr fontId="2"/>
  </si>
  <si>
    <t>「試算用入力フォーム」シートの入力方法</t>
    <rPh sb="1" eb="3">
      <t>シサン</t>
    </rPh>
    <rPh sb="3" eb="4">
      <t>ヨウ</t>
    </rPh>
    <rPh sb="4" eb="6">
      <t>ニュウリョク</t>
    </rPh>
    <rPh sb="15" eb="17">
      <t>ニュウリョク</t>
    </rPh>
    <rPh sb="17" eb="19">
      <t>ホウホウ</t>
    </rPh>
    <phoneticPr fontId="11"/>
  </si>
  <si>
    <t>　この試算シートは、会社都合による退職などの非自発的失業者に係る保険税の軽減制度に対応していますが、実際に軽減が適用されるには、</t>
    <rPh sb="3" eb="5">
      <t>シサン</t>
    </rPh>
    <rPh sb="34" eb="35">
      <t>ゼイ</t>
    </rPh>
    <phoneticPr fontId="11"/>
  </si>
  <si>
    <r>
      <t>年金所得</t>
    </r>
    <r>
      <rPr>
        <b/>
        <sz val="11"/>
        <color theme="1"/>
        <rFont val="游ゴシック"/>
        <family val="3"/>
        <charset val="128"/>
        <scheme val="minor"/>
      </rPr>
      <t>（Ｂ）</t>
    </r>
    <rPh sb="0" eb="2">
      <t>ネンキン</t>
    </rPh>
    <rPh sb="2" eb="4">
      <t>ショトク</t>
    </rPh>
    <phoneticPr fontId="2"/>
  </si>
  <si>
    <r>
      <t>←この金額を</t>
    </r>
    <r>
      <rPr>
        <b/>
        <sz val="11"/>
        <color theme="1"/>
        <rFont val="游ゴシック"/>
        <family val="3"/>
        <charset val="128"/>
        <scheme val="minor"/>
      </rPr>
      <t>「試算」シート（Ｂ）欄</t>
    </r>
    <r>
      <rPr>
        <sz val="11"/>
        <color theme="1"/>
        <rFont val="游ゴシック"/>
        <family val="2"/>
        <charset val="128"/>
        <scheme val="minor"/>
      </rPr>
      <t>へ転記</t>
    </r>
    <rPh sb="3" eb="5">
      <t>キンガク</t>
    </rPh>
    <rPh sb="7" eb="9">
      <t>シサン</t>
    </rPh>
    <rPh sb="16" eb="17">
      <t>ラン</t>
    </rPh>
    <rPh sb="18" eb="20">
      <t>テンキ</t>
    </rPh>
    <phoneticPr fontId="2"/>
  </si>
  <si>
    <t>★入力方法</t>
    <rPh sb="1" eb="3">
      <t>ニュウリョク</t>
    </rPh>
    <rPh sb="3" eb="5">
      <t>ホウホウ</t>
    </rPh>
    <phoneticPr fontId="2"/>
  </si>
  <si>
    <t>②年齢（１月１日現在）</t>
    <rPh sb="1" eb="3">
      <t>ネンレイ</t>
    </rPh>
    <phoneticPr fontId="2"/>
  </si>
  <si>
    <t>③公的年金以外の所得に係る合計所得金額</t>
    <rPh sb="1" eb="3">
      <t>コウテキ</t>
    </rPh>
    <rPh sb="3" eb="5">
      <t>ネンキン</t>
    </rPh>
    <rPh sb="5" eb="7">
      <t>イガイ</t>
    </rPh>
    <rPh sb="8" eb="10">
      <t>ショトク</t>
    </rPh>
    <rPh sb="11" eb="12">
      <t>カカ</t>
    </rPh>
    <rPh sb="13" eb="15">
      <t>ゴウケイ</t>
    </rPh>
    <rPh sb="15" eb="17">
      <t>ショトク</t>
    </rPh>
    <rPh sb="17" eb="19">
      <t>キンガク</t>
    </rPh>
    <phoneticPr fontId="2"/>
  </si>
  <si>
    <t>収入→所得変換シート</t>
    <rPh sb="0" eb="2">
      <t>シュウニュウ</t>
    </rPh>
    <rPh sb="3" eb="5">
      <t>ショトク</t>
    </rPh>
    <rPh sb="5" eb="7">
      <t>ヘンカン</t>
    </rPh>
    <phoneticPr fontId="2"/>
  </si>
  <si>
    <t>公的年金等の収入額を所得額に変換するための算出表です。
入力の際は、「★入力方法」をご参照ください。</t>
    <rPh sb="0" eb="2">
      <t>コウテキ</t>
    </rPh>
    <rPh sb="2" eb="4">
      <t>ネンキン</t>
    </rPh>
    <rPh sb="4" eb="5">
      <t>トウ</t>
    </rPh>
    <rPh sb="6" eb="8">
      <t>シュウニュウ</t>
    </rPh>
    <rPh sb="8" eb="9">
      <t>ガク</t>
    </rPh>
    <rPh sb="10" eb="12">
      <t>ショトク</t>
    </rPh>
    <rPh sb="12" eb="13">
      <t>ガク</t>
    </rPh>
    <rPh sb="14" eb="16">
      <t>ヘンカン</t>
    </rPh>
    <rPh sb="21" eb="23">
      <t>サンシュツ</t>
    </rPh>
    <rPh sb="23" eb="24">
      <t>ヒョウ</t>
    </rPh>
    <rPh sb="28" eb="30">
      <t>ニュウリョク</t>
    </rPh>
    <rPh sb="31" eb="32">
      <t>サイ</t>
    </rPh>
    <rPh sb="36" eb="38">
      <t>ニュウリョク</t>
    </rPh>
    <rPh sb="38" eb="40">
      <t>ホウホウ</t>
    </rPh>
    <rPh sb="43" eb="45">
      <t>サンショウ</t>
    </rPh>
    <phoneticPr fontId="2"/>
  </si>
  <si>
    <t>公的年金等の所得額</t>
    <rPh sb="0" eb="2">
      <t>コウテキ</t>
    </rPh>
    <rPh sb="2" eb="4">
      <t>ネンキン</t>
    </rPh>
    <rPh sb="4" eb="5">
      <t>トウ</t>
    </rPh>
    <rPh sb="6" eb="8">
      <t>ショトク</t>
    </rPh>
    <rPh sb="8" eb="9">
      <t>ガク</t>
    </rPh>
    <phoneticPr fontId="2"/>
  </si>
  <si>
    <t>所得金額調整
控除対象(注１)</t>
    <rPh sb="0" eb="2">
      <t>ショトク</t>
    </rPh>
    <rPh sb="2" eb="4">
      <t>キンガク</t>
    </rPh>
    <rPh sb="4" eb="6">
      <t>チョウセイ</t>
    </rPh>
    <rPh sb="7" eb="9">
      <t>コウジョ</t>
    </rPh>
    <rPh sb="9" eb="11">
      <t>タイショウ</t>
    </rPh>
    <rPh sb="12" eb="13">
      <t>チュウ</t>
    </rPh>
    <phoneticPr fontId="2"/>
  </si>
  <si>
    <t>(注１)給与収入と年金収入のどちらもある方で、両方の所得の合算額が10万円を超える方は、給与所得から調整控除額を差し引いた後の合算額が「給与所得（Ａ）」となります。</t>
    <phoneticPr fontId="2"/>
  </si>
  <si>
    <t>※国民健康保険に未加入の世帯員は、入力不要です。</t>
    <rPh sb="1" eb="3">
      <t>コクミン</t>
    </rPh>
    <rPh sb="3" eb="5">
      <t>ケンコウ</t>
    </rPh>
    <rPh sb="5" eb="7">
      <t>ホケン</t>
    </rPh>
    <rPh sb="8" eb="11">
      <t>ミカニュウ</t>
    </rPh>
    <rPh sb="12" eb="15">
      <t>セタイイン</t>
    </rPh>
    <rPh sb="17" eb="19">
      <t>ニュウリョク</t>
    </rPh>
    <rPh sb="19" eb="21">
      <t>フヨウ</t>
    </rPh>
    <phoneticPr fontId="2"/>
  </si>
  <si>
    <t>③所得額の情報を、入力欄の右端に表示される▼をクリックして、選択。</t>
    <rPh sb="1" eb="3">
      <t>ショトク</t>
    </rPh>
    <rPh sb="3" eb="4">
      <t>ガク</t>
    </rPh>
    <rPh sb="5" eb="7">
      <t>ジョウホウ</t>
    </rPh>
    <rPh sb="9" eb="11">
      <t>ニュウリョク</t>
    </rPh>
    <rPh sb="11" eb="12">
      <t>ラン</t>
    </rPh>
    <rPh sb="13" eb="15">
      <t>ミギハシ</t>
    </rPh>
    <rPh sb="16" eb="18">
      <t>ヒョウジ</t>
    </rPh>
    <rPh sb="30" eb="32">
      <t>センタク</t>
    </rPh>
    <phoneticPr fontId="2"/>
  </si>
  <si>
    <t>①国民年金・厚生年金の合計収入額を入力。</t>
    <rPh sb="1" eb="3">
      <t>コクミン</t>
    </rPh>
    <rPh sb="3" eb="5">
      <t>ネンキン</t>
    </rPh>
    <rPh sb="6" eb="8">
      <t>コウセイ</t>
    </rPh>
    <rPh sb="8" eb="10">
      <t>ネンキン</t>
    </rPh>
    <rPh sb="11" eb="13">
      <t>ゴウケイ</t>
    </rPh>
    <rPh sb="13" eb="15">
      <t>シュウニュウ</t>
    </rPh>
    <rPh sb="15" eb="16">
      <t>ガク</t>
    </rPh>
    <rPh sb="17" eb="19">
      <t>ニュウリョク</t>
    </rPh>
    <phoneticPr fontId="2"/>
  </si>
  <si>
    <t>以下</t>
    <rPh sb="0" eb="2">
      <t>イカ</t>
    </rPh>
    <phoneticPr fontId="2"/>
  </si>
  <si>
    <t>以上</t>
    <rPh sb="0" eb="2">
      <t>イジョウ</t>
    </rPh>
    <phoneticPr fontId="2"/>
  </si>
  <si>
    <t>←年度ごとに税率は変更すること。</t>
    <rPh sb="1" eb="3">
      <t>ネンド</t>
    </rPh>
    <rPh sb="6" eb="8">
      <t>ゼイリツ</t>
    </rPh>
    <rPh sb="9" eb="11">
      <t>ヘンコウ</t>
    </rPh>
    <phoneticPr fontId="2"/>
  </si>
  <si>
    <t xml:space="preserve">※公的年金等に、障害年金、遺族年金は含みません。
</t>
    <rPh sb="1" eb="3">
      <t>コウテキ</t>
    </rPh>
    <rPh sb="3" eb="5">
      <t>ネンキン</t>
    </rPh>
    <rPh sb="5" eb="6">
      <t>トウ</t>
    </rPh>
    <rPh sb="8" eb="10">
      <t>ショウガイ</t>
    </rPh>
    <rPh sb="10" eb="12">
      <t>ネンキン</t>
    </rPh>
    <rPh sb="13" eb="15">
      <t>イゾク</t>
    </rPh>
    <rPh sb="15" eb="17">
      <t>ネンキン</t>
    </rPh>
    <rPh sb="18" eb="19">
      <t>フク</t>
    </rPh>
    <phoneticPr fontId="2"/>
  </si>
  <si>
    <t>給与所得者等
（※１）</t>
    <phoneticPr fontId="2"/>
  </si>
  <si>
    <t>※１）給与所得者等とは、一定の給与所得者及び一定の公的年金等の支給を受ける者をいう。</t>
    <phoneticPr fontId="2"/>
  </si>
  <si>
    <t>一定の給与所得者：給与収入55万円超の者</t>
  </si>
  <si>
    <t>一定の公的年金等の支給を受ける者（65歳未満）：60万円超の支給</t>
  </si>
  <si>
    <t>基礎控除額</t>
    <rPh sb="0" eb="2">
      <t>キソ</t>
    </rPh>
    <rPh sb="2" eb="4">
      <t>コウジョ</t>
    </rPh>
    <rPh sb="4" eb="5">
      <t>ガク</t>
    </rPh>
    <phoneticPr fontId="2"/>
  </si>
  <si>
    <t>（注２）基礎控除額は、合計所得金額が2,400万円以下である場合は43万円、合計所得金額が2,400万円を超え2,450万円以下である場合は29万円、合計所得金額が2,450万円を超え2,500万円以下である場合は15万円となります。</t>
    <rPh sb="1" eb="2">
      <t>チュウ</t>
    </rPh>
    <rPh sb="4" eb="6">
      <t>キソ</t>
    </rPh>
    <rPh sb="6" eb="8">
      <t>コウジョ</t>
    </rPh>
    <rPh sb="8" eb="9">
      <t>ガク</t>
    </rPh>
    <phoneticPr fontId="2"/>
  </si>
  <si>
    <t>加入　未就学児</t>
    <rPh sb="0" eb="2">
      <t>カニュウ</t>
    </rPh>
    <rPh sb="3" eb="6">
      <t>ミシュウガク</t>
    </rPh>
    <rPh sb="6" eb="7">
      <t>ジ</t>
    </rPh>
    <phoneticPr fontId="2"/>
  </si>
  <si>
    <t>軽減判定用年金所得</t>
    <rPh sb="0" eb="2">
      <t>ケイゲン</t>
    </rPh>
    <rPh sb="2" eb="4">
      <t>ハンテイ</t>
    </rPh>
    <rPh sb="4" eb="5">
      <t>ヨウ</t>
    </rPh>
    <rPh sb="5" eb="7">
      <t>ネンキン</t>
    </rPh>
    <rPh sb="7" eb="9">
      <t>ショトク</t>
    </rPh>
    <phoneticPr fontId="2"/>
  </si>
  <si>
    <t>未就学児
均等割1/2
（医療分）</t>
    <rPh sb="0" eb="4">
      <t>ミシュウガクジ</t>
    </rPh>
    <rPh sb="5" eb="8">
      <t>キントウワリ</t>
    </rPh>
    <rPh sb="13" eb="15">
      <t>イリョウ</t>
    </rPh>
    <rPh sb="15" eb="16">
      <t>ブン</t>
    </rPh>
    <phoneticPr fontId="2"/>
  </si>
  <si>
    <t>未就学児
均等割1/2（支援分）</t>
    <rPh sb="0" eb="4">
      <t>ミシュウガクジ</t>
    </rPh>
    <rPh sb="5" eb="8">
      <t>キントウワリ</t>
    </rPh>
    <rPh sb="12" eb="14">
      <t>シエン</t>
    </rPh>
    <rPh sb="14" eb="15">
      <t>ブン</t>
    </rPh>
    <phoneticPr fontId="2"/>
  </si>
  <si>
    <t>（65歳以上の方の年金所得について、軽減判定の際は15万円を控除します。）</t>
    <rPh sb="3" eb="6">
      <t>サイイジョウ</t>
    </rPh>
    <rPh sb="7" eb="8">
      <t>カタ</t>
    </rPh>
    <rPh sb="9" eb="11">
      <t>ネンキン</t>
    </rPh>
    <rPh sb="11" eb="13">
      <t>ショトク</t>
    </rPh>
    <rPh sb="18" eb="20">
      <t>ケイゲン</t>
    </rPh>
    <rPh sb="20" eb="22">
      <t>ハンテイ</t>
    </rPh>
    <rPh sb="23" eb="24">
      <t>サイ</t>
    </rPh>
    <rPh sb="27" eb="29">
      <t>マンエン</t>
    </rPh>
    <rPh sb="30" eb="32">
      <t>コウジョ</t>
    </rPh>
    <phoneticPr fontId="2"/>
  </si>
  <si>
    <t>　 調整控除額＝｛ 給与所得額(10万円超の場合は10万円) ＋ 年金所得額(10万円超の場合は10万円) ｝－10万円</t>
    <phoneticPr fontId="2"/>
  </si>
  <si>
    <t>軽減判定用調整控除後
給与所得</t>
    <rPh sb="0" eb="2">
      <t>ケイゲン</t>
    </rPh>
    <rPh sb="2" eb="4">
      <t>ハンテイ</t>
    </rPh>
    <rPh sb="4" eb="5">
      <t>ヨウ</t>
    </rPh>
    <rPh sb="5" eb="7">
      <t>チョウセイ</t>
    </rPh>
    <rPh sb="7" eb="9">
      <t>コウジョ</t>
    </rPh>
    <rPh sb="9" eb="10">
      <t>ゴ</t>
    </rPh>
    <rPh sb="11" eb="13">
      <t>キュウヨ</t>
    </rPh>
    <rPh sb="13" eb="15">
      <t>ショトク</t>
    </rPh>
    <phoneticPr fontId="2"/>
  </si>
  <si>
    <t>軽減判定用
調整控除額</t>
    <rPh sb="0" eb="2">
      <t>ケイゲン</t>
    </rPh>
    <rPh sb="2" eb="5">
      <t>ハンテイヨウ</t>
    </rPh>
    <phoneticPr fontId="2"/>
  </si>
  <si>
    <t>65歳以上：110万円超の支給（軽減判定用に15万円控除があるため、実際は125万円）</t>
    <rPh sb="16" eb="18">
      <t>ケイゲン</t>
    </rPh>
    <rPh sb="18" eb="20">
      <t>ハンテイ</t>
    </rPh>
    <rPh sb="20" eb="21">
      <t>ヨウ</t>
    </rPh>
    <rPh sb="24" eb="26">
      <t>マンエン</t>
    </rPh>
    <rPh sb="26" eb="28">
      <t>コウジョ</t>
    </rPh>
    <rPh sb="34" eb="36">
      <t>ジッサイ</t>
    </rPh>
    <rPh sb="40" eb="42">
      <t>マンエン</t>
    </rPh>
    <phoneticPr fontId="2"/>
  </si>
  <si>
    <t>軽減判定用根拠数値</t>
  </si>
  <si>
    <t>共通</t>
    <rPh sb="0" eb="2">
      <t>キョウツウ</t>
    </rPh>
    <phoneticPr fontId="2"/>
  </si>
  <si>
    <t>５割用</t>
    <rPh sb="1" eb="2">
      <t>ワリ</t>
    </rPh>
    <rPh sb="2" eb="3">
      <t>ヨウ</t>
    </rPh>
    <phoneticPr fontId="2"/>
  </si>
  <si>
    <t>２割用</t>
    <rPh sb="1" eb="2">
      <t>ワリ</t>
    </rPh>
    <rPh sb="2" eb="3">
      <t>ヨウ</t>
    </rPh>
    <phoneticPr fontId="2"/>
  </si>
  <si>
    <t>←制度改正ごとに変更すること。</t>
    <rPh sb="1" eb="3">
      <t>セイド</t>
    </rPh>
    <rPh sb="3" eb="5">
      <t>カイセイ</t>
    </rPh>
    <rPh sb="8" eb="10">
      <t>ヘンコウ</t>
    </rPh>
    <phoneticPr fontId="2"/>
  </si>
  <si>
    <t>※国税庁ＨＰの「給与所得控除」を確認</t>
    <rPh sb="1" eb="4">
      <t>コクゼイチョウ</t>
    </rPh>
    <rPh sb="8" eb="10">
      <t>キュウヨ</t>
    </rPh>
    <rPh sb="10" eb="12">
      <t>ショトク</t>
    </rPh>
    <rPh sb="12" eb="14">
      <t>コウジョ</t>
    </rPh>
    <rPh sb="16" eb="18">
      <t>カクニン</t>
    </rPh>
    <phoneticPr fontId="2"/>
  </si>
  <si>
    <t>加入　18歳未満</t>
    <rPh sb="0" eb="2">
      <t>カニュウ</t>
    </rPh>
    <rPh sb="5" eb="6">
      <t>サイ</t>
    </rPh>
    <rPh sb="6" eb="8">
      <t>ミマン</t>
    </rPh>
    <phoneticPr fontId="2"/>
  </si>
  <si>
    <t>R7年分から変更</t>
    <rPh sb="2" eb="4">
      <t>ネンブン</t>
    </rPh>
    <rPh sb="6" eb="8">
      <t>ヘンコウ</t>
    </rPh>
    <phoneticPr fontId="2"/>
  </si>
  <si>
    <t>18歳未満
均等割（子ども子育て支援分）</t>
    <rPh sb="2" eb="5">
      <t>サイミマン</t>
    </rPh>
    <rPh sb="6" eb="9">
      <t>キントウワリ</t>
    </rPh>
    <rPh sb="10" eb="11">
      <t>コ</t>
    </rPh>
    <rPh sb="13" eb="15">
      <t>コソダ</t>
    </rPh>
    <rPh sb="16" eb="18">
      <t>シエン</t>
    </rPh>
    <rPh sb="18" eb="19">
      <t>ブン</t>
    </rPh>
    <phoneticPr fontId="2"/>
  </si>
  <si>
    <t>R8年度　保険税率</t>
    <rPh sb="2" eb="4">
      <t>ネンド</t>
    </rPh>
    <rPh sb="5" eb="7">
      <t>ホケン</t>
    </rPh>
    <rPh sb="7" eb="8">
      <t>ゼイ</t>
    </rPh>
    <rPh sb="8" eb="9">
      <t>リツ</t>
    </rPh>
    <phoneticPr fontId="2"/>
  </si>
  <si>
    <t>子ども子育て支援分</t>
    <rPh sb="0" eb="1">
      <t>コ</t>
    </rPh>
    <rPh sb="3" eb="5">
      <t>コソダ</t>
    </rPh>
    <rPh sb="6" eb="8">
      <t>シエン</t>
    </rPh>
    <phoneticPr fontId="2"/>
  </si>
  <si>
    <t>子ども子育て支援分</t>
    <rPh sb="0" eb="1">
      <t>コ</t>
    </rPh>
    <rPh sb="3" eb="5">
      <t>コソダ</t>
    </rPh>
    <rPh sb="6" eb="8">
      <t>シエン</t>
    </rPh>
    <rPh sb="8" eb="9">
      <t>ブン</t>
    </rPh>
    <phoneticPr fontId="2"/>
  </si>
  <si>
    <r>
      <t>①</t>
    </r>
    <r>
      <rPr>
        <b/>
        <sz val="11"/>
        <color theme="1"/>
        <rFont val="游ゴシック"/>
        <family val="3"/>
        <charset val="128"/>
        <scheme val="minor"/>
      </rPr>
      <t>令和7年</t>
    </r>
    <r>
      <rPr>
        <sz val="11"/>
        <color theme="1"/>
        <rFont val="游ゴシック"/>
        <family val="2"/>
        <charset val="128"/>
        <scheme val="minor"/>
      </rPr>
      <t>中の公的年金等の収入額</t>
    </r>
    <rPh sb="1" eb="3">
      <t>レイワ</t>
    </rPh>
    <rPh sb="4" eb="5">
      <t>トシ</t>
    </rPh>
    <rPh sb="5" eb="6">
      <t>ジュウ</t>
    </rPh>
    <rPh sb="7" eb="9">
      <t>コウテキ</t>
    </rPh>
    <rPh sb="9" eb="11">
      <t>ネンキン</t>
    </rPh>
    <rPh sb="11" eb="12">
      <t>トウ</t>
    </rPh>
    <rPh sb="13" eb="15">
      <t>シュウニュウ</t>
    </rPh>
    <rPh sb="15" eb="16">
      <t>ガク</t>
    </rPh>
    <phoneticPr fontId="2"/>
  </si>
  <si>
    <t>②計算する年度の直前の１月１日現在の年齢を、入力欄の右端に表示される▼をクリックして、選択。
（例：令和８年度試算の場合→令和８年１月１日）</t>
    <rPh sb="1" eb="3">
      <t>ケイサン</t>
    </rPh>
    <rPh sb="5" eb="7">
      <t>ネンド</t>
    </rPh>
    <rPh sb="7" eb="8">
      <t>ネンネン</t>
    </rPh>
    <rPh sb="8" eb="10">
      <t>チョクゼン</t>
    </rPh>
    <rPh sb="12" eb="13">
      <t>ガツ</t>
    </rPh>
    <rPh sb="14" eb="15">
      <t>ニチ</t>
    </rPh>
    <rPh sb="15" eb="17">
      <t>ゲンザイ</t>
    </rPh>
    <rPh sb="18" eb="20">
      <t>ネンレイ</t>
    </rPh>
    <rPh sb="22" eb="24">
      <t>ニュウリョク</t>
    </rPh>
    <rPh sb="24" eb="25">
      <t>ラン</t>
    </rPh>
    <rPh sb="26" eb="28">
      <t>ミギハシ</t>
    </rPh>
    <rPh sb="29" eb="31">
      <t>ヒョウジ</t>
    </rPh>
    <rPh sb="43" eb="45">
      <t>センタク</t>
    </rPh>
    <rPh sb="48" eb="49">
      <t>レイ</t>
    </rPh>
    <rPh sb="50" eb="52">
      <t>レイワ</t>
    </rPh>
    <rPh sb="53" eb="55">
      <t>ネンド</t>
    </rPh>
    <rPh sb="55" eb="57">
      <t>シサン</t>
    </rPh>
    <rPh sb="58" eb="60">
      <t>バアイ</t>
    </rPh>
    <rPh sb="61" eb="63">
      <t>レイワ</t>
    </rPh>
    <rPh sb="64" eb="65">
      <t>ネン</t>
    </rPh>
    <rPh sb="66" eb="67">
      <t>ガツ</t>
    </rPh>
    <rPh sb="68" eb="69">
      <t>ニチ</t>
    </rPh>
    <phoneticPr fontId="2"/>
  </si>
  <si>
    <r>
      <t>次の手順に沿って必要な情報を入力フォームに入力することで、</t>
    </r>
    <r>
      <rPr>
        <b/>
        <sz val="10"/>
        <rFont val="ＭＳ ゴシック"/>
        <family val="3"/>
        <charset val="128"/>
      </rPr>
      <t>令和８年度（令和８年４月～令和９年３月）</t>
    </r>
    <r>
      <rPr>
        <sz val="10"/>
        <rFont val="ＭＳ ゴシック"/>
        <family val="3"/>
        <charset val="128"/>
      </rPr>
      <t>の国民健康保険税を試算することができます。</t>
    </r>
    <rPh sb="0" eb="1">
      <t>ツギ</t>
    </rPh>
    <rPh sb="2" eb="4">
      <t>テジュン</t>
    </rPh>
    <rPh sb="5" eb="6">
      <t>ソ</t>
    </rPh>
    <rPh sb="8" eb="10">
      <t>ヒツヨウ</t>
    </rPh>
    <rPh sb="11" eb="13">
      <t>ジョウホウ</t>
    </rPh>
    <rPh sb="14" eb="16">
      <t>ニュウリョク</t>
    </rPh>
    <rPh sb="21" eb="23">
      <t>ニュウリョク</t>
    </rPh>
    <rPh sb="29" eb="31">
      <t>レイワ</t>
    </rPh>
    <rPh sb="32" eb="34">
      <t>ネンド</t>
    </rPh>
    <rPh sb="33" eb="34">
      <t>ド</t>
    </rPh>
    <rPh sb="35" eb="36">
      <t>レイ</t>
    </rPh>
    <rPh sb="36" eb="37">
      <t>カズ</t>
    </rPh>
    <rPh sb="38" eb="39">
      <t>ネン</t>
    </rPh>
    <rPh sb="40" eb="41">
      <t>ガツ</t>
    </rPh>
    <rPh sb="42" eb="43">
      <t>レイ</t>
    </rPh>
    <rPh sb="43" eb="44">
      <t>カズ</t>
    </rPh>
    <rPh sb="45" eb="46">
      <t>ネン</t>
    </rPh>
    <rPh sb="47" eb="48">
      <t>ガツ</t>
    </rPh>
    <rPh sb="50" eb="52">
      <t>コクミン</t>
    </rPh>
    <rPh sb="52" eb="54">
      <t>ケンコウ</t>
    </rPh>
    <rPh sb="54" eb="56">
      <t>ホケン</t>
    </rPh>
    <rPh sb="56" eb="57">
      <t>ゼイ</t>
    </rPh>
    <rPh sb="58" eb="60">
      <t>シサン</t>
    </rPh>
    <phoneticPr fontId="11"/>
  </si>
  <si>
    <t>資産割額</t>
    <rPh sb="0" eb="2">
      <t>シサン</t>
    </rPh>
    <rPh sb="2" eb="3">
      <t>ワリ</t>
    </rPh>
    <rPh sb="3" eb="4">
      <t>ガク</t>
    </rPh>
    <phoneticPr fontId="2"/>
  </si>
  <si>
    <t>当年度
固定資産税</t>
    <rPh sb="0" eb="3">
      <t>トウネンド</t>
    </rPh>
    <rPh sb="4" eb="9">
      <t>コテイシサンゼイ</t>
    </rPh>
    <phoneticPr fontId="2"/>
  </si>
  <si>
    <t>資産割</t>
    <rPh sb="0" eb="3">
      <t>シサンワリ</t>
    </rPh>
    <phoneticPr fontId="2"/>
  </si>
  <si>
    <t>平等割額</t>
    <rPh sb="0" eb="4">
      <t>ビョウドウワリガク</t>
    </rPh>
    <phoneticPr fontId="2"/>
  </si>
  <si>
    <t>令和８年度　今治市国民健康保険税の試算用入力フォーム</t>
    <rPh sb="0" eb="2">
      <t>レイワ</t>
    </rPh>
    <rPh sb="3" eb="5">
      <t>ネンド</t>
    </rPh>
    <rPh sb="8" eb="9">
      <t>シ</t>
    </rPh>
    <rPh sb="9" eb="11">
      <t>コクミン</t>
    </rPh>
    <rPh sb="11" eb="13">
      <t>ケンコウ</t>
    </rPh>
    <rPh sb="13" eb="15">
      <t>ホケン</t>
    </rPh>
    <rPh sb="15" eb="16">
      <t>ゼイ</t>
    </rPh>
    <rPh sb="17" eb="19">
      <t>シサン</t>
    </rPh>
    <rPh sb="19" eb="20">
      <t>ヨウ</t>
    </rPh>
    <rPh sb="20" eb="22">
      <t>ニュウリョク</t>
    </rPh>
    <phoneticPr fontId="2"/>
  </si>
  <si>
    <r>
      <t xml:space="preserve">所得割算定基礎額
</t>
    </r>
    <r>
      <rPr>
        <sz val="9"/>
        <color theme="1"/>
        <rFont val="游ゴシック"/>
        <family val="3"/>
        <charset val="128"/>
        <scheme val="minor"/>
      </rPr>
      <t>(所得の合計-基礎控除額（注２）)</t>
    </r>
    <rPh sb="0" eb="2">
      <t>ショトク</t>
    </rPh>
    <rPh sb="2" eb="3">
      <t>ワリ</t>
    </rPh>
    <rPh sb="3" eb="5">
      <t>サンテイ</t>
    </rPh>
    <rPh sb="5" eb="7">
      <t>キソ</t>
    </rPh>
    <rPh sb="7" eb="8">
      <t>ガク</t>
    </rPh>
    <rPh sb="10" eb="12">
      <t>ショトク</t>
    </rPh>
    <rPh sb="13" eb="15">
      <t>ゴウケイ</t>
    </rPh>
    <rPh sb="16" eb="18">
      <t>キソ</t>
    </rPh>
    <rPh sb="18" eb="20">
      <t>コウジョ</t>
    </rPh>
    <rPh sb="20" eb="21">
      <t>ガク</t>
    </rPh>
    <rPh sb="22" eb="23">
      <t>チュウ</t>
    </rPh>
    <phoneticPr fontId="2"/>
  </si>
  <si>
    <r>
      <t xml:space="preserve">　所得の合計
</t>
    </r>
    <r>
      <rPr>
        <sz val="10"/>
        <color theme="1"/>
        <rFont val="游ゴシック"/>
        <family val="3"/>
        <charset val="128"/>
        <scheme val="minor"/>
      </rPr>
      <t>　</t>
    </r>
    <r>
      <rPr>
        <b/>
        <sz val="10"/>
        <color theme="1"/>
        <rFont val="游ゴシック"/>
        <family val="3"/>
        <charset val="128"/>
        <scheme val="minor"/>
      </rPr>
      <t>(Ａ)+(Ｂ)+(Ｃ)</t>
    </r>
    <r>
      <rPr>
        <b/>
        <sz val="11"/>
        <color theme="1"/>
        <rFont val="游ゴシック"/>
        <family val="3"/>
        <charset val="128"/>
        <scheme val="minor"/>
      </rPr>
      <t xml:space="preserve">
</t>
    </r>
    <r>
      <rPr>
        <sz val="9"/>
        <color theme="1"/>
        <rFont val="游ゴシック"/>
        <family val="3"/>
        <charset val="128"/>
        <scheme val="minor"/>
      </rPr>
      <t>※０円より少額の場合も０円と表示</t>
    </r>
    <rPh sb="1" eb="3">
      <t>ショトク</t>
    </rPh>
    <rPh sb="4" eb="6">
      <t>ゴウケイ</t>
    </rPh>
    <rPh sb="22" eb="23">
      <t>エン</t>
    </rPh>
    <rPh sb="25" eb="27">
      <t>ショウガク</t>
    </rPh>
    <rPh sb="28" eb="30">
      <t>バアイ</t>
    </rPh>
    <rPh sb="32" eb="33">
      <t>エン</t>
    </rPh>
    <rPh sb="34" eb="36">
      <t>ヒョウジ</t>
    </rPh>
    <phoneticPr fontId="2"/>
  </si>
  <si>
    <t>★試算にあたっては、別シート（「試算用入力フォーム」の入力方法）の入力手順と注意事項をお読みください。</t>
    <rPh sb="1" eb="3">
      <t>シサン</t>
    </rPh>
    <rPh sb="10" eb="11">
      <t>ベツ</t>
    </rPh>
    <rPh sb="33" eb="35">
      <t>ニュウリョク</t>
    </rPh>
    <rPh sb="35" eb="37">
      <t>テジュン</t>
    </rPh>
    <rPh sb="38" eb="40">
      <t>チュウイ</t>
    </rPh>
    <rPh sb="40" eb="42">
      <t>ジコウ</t>
    </rPh>
    <rPh sb="44" eb="45">
      <t>ヨ</t>
    </rPh>
    <phoneticPr fontId="2"/>
  </si>
  <si>
    <t>※試算結果は概算であり、実際の保険税とは異なる場合がありますので、目安としてご利用ください。</t>
    <rPh sb="1" eb="3">
      <t>シサン</t>
    </rPh>
    <rPh sb="3" eb="5">
      <t>ケッカ</t>
    </rPh>
    <rPh sb="6" eb="8">
      <t>ガイサン</t>
    </rPh>
    <rPh sb="12" eb="14">
      <t>ジッサイ</t>
    </rPh>
    <rPh sb="15" eb="17">
      <t>ホケン</t>
    </rPh>
    <rPh sb="17" eb="18">
      <t>ゼイ</t>
    </rPh>
    <rPh sb="20" eb="21">
      <t>コト</t>
    </rPh>
    <rPh sb="23" eb="25">
      <t>バアイ</t>
    </rPh>
    <rPh sb="33" eb="35">
      <t>メヤス</t>
    </rPh>
    <rPh sb="39" eb="41">
      <t>リヨウ</t>
    </rPh>
    <phoneticPr fontId="11"/>
  </si>
  <si>
    <t>①「加入状況・年齢区分」欄の入力</t>
    <rPh sb="2" eb="4">
      <t>カニュウ</t>
    </rPh>
    <rPh sb="4" eb="6">
      <t>ジョウキョウ</t>
    </rPh>
    <rPh sb="7" eb="9">
      <t>ネンレイ</t>
    </rPh>
    <rPh sb="9" eb="11">
      <t>クブン</t>
    </rPh>
    <rPh sb="12" eb="13">
      <t>ラン</t>
    </rPh>
    <rPh sb="14" eb="16">
      <t>ニュウリョク</t>
    </rPh>
    <phoneticPr fontId="11"/>
  </si>
  <si>
    <t>②「前年の収入・所得情報」欄の入力</t>
    <rPh sb="2" eb="4">
      <t>ゼンネン</t>
    </rPh>
    <rPh sb="5" eb="7">
      <t>シュウニュウ</t>
    </rPh>
    <rPh sb="8" eb="10">
      <t>ショトク</t>
    </rPh>
    <rPh sb="10" eb="12">
      <t>ジョウホウ</t>
    </rPh>
    <rPh sb="13" eb="14">
      <t>ラン</t>
    </rPh>
    <rPh sb="15" eb="17">
      <t>ニュウリョク</t>
    </rPh>
    <phoneticPr fontId="11"/>
  </si>
  <si>
    <t>③「退職理由」欄の入力</t>
    <rPh sb="2" eb="4">
      <t>タイショク</t>
    </rPh>
    <rPh sb="4" eb="6">
      <t>リユウ</t>
    </rPh>
    <rPh sb="7" eb="8">
      <t>ラン</t>
    </rPh>
    <rPh sb="9" eb="11">
      <t>ニュウリョク</t>
    </rPh>
    <phoneticPr fontId="11"/>
  </si>
  <si>
    <t>・加入者全員の加入期間が1年間(12ヵ月)ではない場合</t>
    <rPh sb="1" eb="6">
      <t>カニュウシャゼンイン</t>
    </rPh>
    <rPh sb="7" eb="11">
      <t>カニュウキカン</t>
    </rPh>
    <rPh sb="13" eb="15">
      <t>ネンカン</t>
    </rPh>
    <rPh sb="19" eb="20">
      <t>ゲツ</t>
    </rPh>
    <rPh sb="25" eb="27">
      <t>バアイ</t>
    </rPh>
    <phoneticPr fontId="38"/>
  </si>
  <si>
    <t>・年度途中に加入者の所得や人数が変わる場合</t>
    <rPh sb="1" eb="5">
      <t>ネンドトチュウ</t>
    </rPh>
    <rPh sb="6" eb="9">
      <t>カニュウシャ</t>
    </rPh>
    <rPh sb="10" eb="12">
      <t>ショトク</t>
    </rPh>
    <rPh sb="13" eb="15">
      <t>ニンズウ</t>
    </rPh>
    <rPh sb="16" eb="17">
      <t>カ</t>
    </rPh>
    <rPh sb="19" eb="21">
      <t>バアイ</t>
    </rPh>
    <phoneticPr fontId="38"/>
  </si>
  <si>
    <t>・年度途中に加入者が40歳に到達し、介護保険第2号被保険者となる場合</t>
    <rPh sb="1" eb="5">
      <t>ネンドトチュウ</t>
    </rPh>
    <rPh sb="6" eb="9">
      <t>カニュウシャ</t>
    </rPh>
    <rPh sb="12" eb="13">
      <t>サイ</t>
    </rPh>
    <rPh sb="14" eb="16">
      <t>トウタツ</t>
    </rPh>
    <rPh sb="18" eb="20">
      <t>カイゴ</t>
    </rPh>
    <rPh sb="20" eb="22">
      <t>ホケン</t>
    </rPh>
    <rPh sb="22" eb="23">
      <t>ダイ</t>
    </rPh>
    <rPh sb="24" eb="25">
      <t>ゴウ</t>
    </rPh>
    <rPh sb="25" eb="29">
      <t>ヒホケンシャ</t>
    </rPh>
    <rPh sb="32" eb="34">
      <t>バアイ</t>
    </rPh>
    <phoneticPr fontId="38"/>
  </si>
  <si>
    <t>・年度途中に加入者が65歳に到達し、介護保険第1号被保険者となる場合</t>
    <rPh sb="1" eb="5">
      <t>ネンドトチュウ</t>
    </rPh>
    <rPh sb="6" eb="9">
      <t>カニュウシャ</t>
    </rPh>
    <rPh sb="12" eb="13">
      <t>サイ</t>
    </rPh>
    <rPh sb="14" eb="16">
      <t>トウタツ</t>
    </rPh>
    <rPh sb="18" eb="23">
      <t>カイゴホケンダイ</t>
    </rPh>
    <rPh sb="24" eb="29">
      <t>ゴウヒホケンシャ</t>
    </rPh>
    <rPh sb="32" eb="34">
      <t>バアイ</t>
    </rPh>
    <phoneticPr fontId="38"/>
  </si>
  <si>
    <t>・年度途中に加入者が75歳に到達し、後期高齢者医療制度の加入者となる場合</t>
    <rPh sb="1" eb="5">
      <t>ネンドトチュウ</t>
    </rPh>
    <rPh sb="6" eb="9">
      <t>カニュウシャ</t>
    </rPh>
    <rPh sb="12" eb="13">
      <t>サイ</t>
    </rPh>
    <rPh sb="14" eb="16">
      <t>トウタツ</t>
    </rPh>
    <rPh sb="18" eb="27">
      <t>コウキコウレイシャイリョウセイド</t>
    </rPh>
    <rPh sb="28" eb="31">
      <t>カニュウシャ</t>
    </rPh>
    <rPh sb="34" eb="36">
      <t>バアイ</t>
    </rPh>
    <phoneticPr fontId="38"/>
  </si>
  <si>
    <t>・年度途中に加入者が後期高齢者医療制度に移行し、残った国民健康保険の加入者が1人となる場合</t>
    <rPh sb="1" eb="5">
      <t>ネンドトチュウ</t>
    </rPh>
    <rPh sb="6" eb="9">
      <t>カニュウシャ</t>
    </rPh>
    <rPh sb="10" eb="19">
      <t>コウキコウレイシャイリョウセイド</t>
    </rPh>
    <rPh sb="20" eb="22">
      <t>イコウ</t>
    </rPh>
    <rPh sb="24" eb="25">
      <t>ノコ</t>
    </rPh>
    <rPh sb="27" eb="33">
      <t>コクミンケンコウホケン</t>
    </rPh>
    <rPh sb="34" eb="37">
      <t>カニュウシャ</t>
    </rPh>
    <rPh sb="39" eb="40">
      <t>ヒト</t>
    </rPh>
    <rPh sb="43" eb="45">
      <t>バアイ</t>
    </rPh>
    <phoneticPr fontId="38"/>
  </si>
  <si>
    <t>・世帯内に特定同一世帯所属者がいる場合</t>
    <rPh sb="1" eb="4">
      <t>セタイナイ</t>
    </rPh>
    <rPh sb="5" eb="11">
      <t>トクテイドウイツセタイ</t>
    </rPh>
    <rPh sb="11" eb="14">
      <t>ショゾクシャ</t>
    </rPh>
    <rPh sb="17" eb="19">
      <t>バアイ</t>
    </rPh>
    <phoneticPr fontId="38"/>
  </si>
  <si>
    <t>・世帯主又は加入者に年金収入があり、その方が令和7年1月2日より後に65歳の誕生日を迎えた場合</t>
    <rPh sb="1" eb="5">
      <t>セタイヌシマタ</t>
    </rPh>
    <rPh sb="6" eb="9">
      <t>カニュウシャ</t>
    </rPh>
    <rPh sb="10" eb="14">
      <t>ネンキンシュウニュウ</t>
    </rPh>
    <rPh sb="20" eb="21">
      <t>カタ</t>
    </rPh>
    <rPh sb="22" eb="24">
      <t>レイワ</t>
    </rPh>
    <rPh sb="25" eb="26">
      <t>ネン</t>
    </rPh>
    <rPh sb="27" eb="28">
      <t>ガツ</t>
    </rPh>
    <rPh sb="29" eb="30">
      <t>カ</t>
    </rPh>
    <rPh sb="32" eb="33">
      <t>アト</t>
    </rPh>
    <rPh sb="36" eb="37">
      <t>サイ</t>
    </rPh>
    <rPh sb="38" eb="41">
      <t>タンジョウビ</t>
    </rPh>
    <rPh sb="42" eb="43">
      <t>ムカ</t>
    </rPh>
    <rPh sb="45" eb="47">
      <t>バアイ</t>
    </rPh>
    <phoneticPr fontId="38"/>
  </si>
  <si>
    <t>・公的年金収入がある方で、年金以外の所得が1千万円以上ある場合</t>
    <rPh sb="1" eb="7">
      <t>コウテキネンキンシュウニュウ</t>
    </rPh>
    <rPh sb="10" eb="11">
      <t>カタ</t>
    </rPh>
    <rPh sb="13" eb="17">
      <t>ネンキンイガイ</t>
    </rPh>
    <rPh sb="18" eb="20">
      <t>ショトク</t>
    </rPh>
    <rPh sb="22" eb="27">
      <t>センマンエンイジョウ</t>
    </rPh>
    <rPh sb="29" eb="31">
      <t>バアイ</t>
    </rPh>
    <phoneticPr fontId="38"/>
  </si>
  <si>
    <t>・所得金額調整控除がある場合や、給与所得の特定支出控除がある場合等</t>
    <rPh sb="1" eb="9">
      <t>ショトクキンガクチョウセイコウジョ</t>
    </rPh>
    <rPh sb="12" eb="14">
      <t>バアイ</t>
    </rPh>
    <rPh sb="16" eb="20">
      <t>キュウヨショトク</t>
    </rPh>
    <rPh sb="21" eb="27">
      <t>トクテイシシュツコウジョ</t>
    </rPh>
    <rPh sb="30" eb="32">
      <t>バアイ</t>
    </rPh>
    <rPh sb="32" eb="33">
      <t>トウ</t>
    </rPh>
    <phoneticPr fontId="38"/>
  </si>
  <si>
    <t>・専従者給与がある場合、または専従者控除を必要経費に算出している場合</t>
    <rPh sb="1" eb="6">
      <t>センジュウシャキュウヨ</t>
    </rPh>
    <rPh sb="9" eb="11">
      <t>バアイ</t>
    </rPh>
    <rPh sb="15" eb="20">
      <t>センジュウシャコウジョ</t>
    </rPh>
    <rPh sb="21" eb="25">
      <t>ヒツヨウケイヒ</t>
    </rPh>
    <rPh sb="26" eb="28">
      <t>サンシュツ</t>
    </rPh>
    <rPh sb="32" eb="34">
      <t>バアイ</t>
    </rPh>
    <phoneticPr fontId="38"/>
  </si>
  <si>
    <t>・分離課税所得(土地・株式等の譲渡所得等)がある場合</t>
    <rPh sb="1" eb="7">
      <t>ブンリカゼイショトク</t>
    </rPh>
    <rPh sb="8" eb="10">
      <t>トチ</t>
    </rPh>
    <rPh sb="11" eb="14">
      <t>カブシキトウ</t>
    </rPh>
    <rPh sb="15" eb="19">
      <t>ジョウトショトク</t>
    </rPh>
    <rPh sb="19" eb="20">
      <t>トウ</t>
    </rPh>
    <rPh sb="24" eb="26">
      <t>バアイ</t>
    </rPh>
    <phoneticPr fontId="38"/>
  </si>
  <si>
    <t>・倒産・解雇や雇い止めなどにより離職された方(非自発的失業)に対する軽減措置に該当する場合</t>
    <rPh sb="1" eb="3">
      <t>トウサン</t>
    </rPh>
    <rPh sb="7" eb="8">
      <t>ヤト</t>
    </rPh>
    <rPh sb="9" eb="10">
      <t>ド</t>
    </rPh>
    <rPh sb="16" eb="18">
      <t>リショク</t>
    </rPh>
    <rPh sb="21" eb="22">
      <t>カタ</t>
    </rPh>
    <rPh sb="23" eb="29">
      <t>ヒジハツテキシツギョウ</t>
    </rPh>
    <rPh sb="31" eb="32">
      <t>タイ</t>
    </rPh>
    <rPh sb="34" eb="38">
      <t>ケイゲンソチ</t>
    </rPh>
    <rPh sb="39" eb="41">
      <t>ガイトウ</t>
    </rPh>
    <rPh sb="43" eb="45">
      <t>バアイ</t>
    </rPh>
    <phoneticPr fontId="38"/>
  </si>
  <si>
    <t>・産前産後期間に係る軽減措置に該当する場合</t>
    <rPh sb="1" eb="3">
      <t>サンゼン</t>
    </rPh>
    <rPh sb="3" eb="5">
      <t>サンゴ</t>
    </rPh>
    <rPh sb="5" eb="7">
      <t>キカン</t>
    </rPh>
    <rPh sb="8" eb="9">
      <t>カカ</t>
    </rPh>
    <rPh sb="10" eb="14">
      <t>ケイゲンソチ</t>
    </rPh>
    <rPh sb="15" eb="17">
      <t>ガイトウ</t>
    </rPh>
    <rPh sb="19" eb="21">
      <t>バアイ</t>
    </rPh>
    <phoneticPr fontId="38"/>
  </si>
  <si>
    <t>「世帯主」欄
「世帯員１～７」欄</t>
    <rPh sb="1" eb="4">
      <t>セタイヌシ</t>
    </rPh>
    <rPh sb="5" eb="6">
      <t>ラン</t>
    </rPh>
    <phoneticPr fontId="11"/>
  </si>
  <si>
    <r>
      <t xml:space="preserve">「退職理由」欄の右端に表示される▼をクリックして、該当する退職理由を選択してください。
</t>
    </r>
    <r>
      <rPr>
        <sz val="10"/>
        <color rgb="FFFF0000"/>
        <rFont val="ＭＳ ゴシック"/>
        <family val="3"/>
        <charset val="128"/>
      </rPr>
      <t>国保に加入しない世帯主の方は、入力不要です。
退職による国保加入に該当しない場合は、入力不要です。</t>
    </r>
    <rPh sb="1" eb="3">
      <t>タイショク</t>
    </rPh>
    <rPh sb="3" eb="5">
      <t>リユウ</t>
    </rPh>
    <rPh sb="6" eb="7">
      <t>ラン</t>
    </rPh>
    <rPh sb="8" eb="10">
      <t>ミギハシ</t>
    </rPh>
    <rPh sb="11" eb="13">
      <t>ヒョウジ</t>
    </rPh>
    <rPh sb="29" eb="31">
      <t>タイショク</t>
    </rPh>
    <rPh sb="31" eb="33">
      <t>リユウ</t>
    </rPh>
    <rPh sb="52" eb="55">
      <t>セタイヌシ</t>
    </rPh>
    <rPh sb="61" eb="63">
      <t>フヨウ</t>
    </rPh>
    <rPh sb="67" eb="69">
      <t>タイショク</t>
    </rPh>
    <rPh sb="72" eb="74">
      <t>コクホ</t>
    </rPh>
    <rPh sb="74" eb="76">
      <t>カニュウ</t>
    </rPh>
    <rPh sb="77" eb="79">
      <t>ガイトウ</t>
    </rPh>
    <rPh sb="82" eb="84">
      <t>バアイ</t>
    </rPh>
    <rPh sb="86" eb="88">
      <t>ニュウリョク</t>
    </rPh>
    <rPh sb="88" eb="90">
      <t>フヨウ</t>
    </rPh>
    <phoneticPr fontId="11"/>
  </si>
  <si>
    <t>「世帯主」欄
「世帯員１～７」欄</t>
    <rPh sb="1" eb="4">
      <t>セタイヌシ</t>
    </rPh>
    <rPh sb="5" eb="6">
      <t>ラン</t>
    </rPh>
    <rPh sb="8" eb="11">
      <t>セタイイン</t>
    </rPh>
    <rPh sb="15" eb="16">
      <t>ラン</t>
    </rPh>
    <phoneticPr fontId="11"/>
  </si>
  <si>
    <t>④「当年度固定資産税」欄の入力</t>
    <rPh sb="2" eb="5">
      <t>トウネンド</t>
    </rPh>
    <rPh sb="5" eb="7">
      <t>コテイ</t>
    </rPh>
    <rPh sb="7" eb="10">
      <t>シサンゼイ</t>
    </rPh>
    <rPh sb="11" eb="12">
      <t>ラン</t>
    </rPh>
    <rPh sb="13" eb="15">
      <t>ニュウリョク</t>
    </rPh>
    <phoneticPr fontId="11"/>
  </si>
  <si>
    <r>
      <t xml:space="preserve">前年（１月１日～12月31日）の所得情報を入力してください。
</t>
    </r>
    <r>
      <rPr>
        <sz val="10"/>
        <color rgb="FFFF0000"/>
        <rFont val="ＭＳ ゴシック"/>
        <family val="3"/>
        <charset val="128"/>
      </rPr>
      <t xml:space="preserve">世帯主の方は、国保に加入しない場合でも、軽減判定を行う際に必要ですので、必ず入力してください。
</t>
    </r>
    <r>
      <rPr>
        <sz val="10"/>
        <rFont val="ＭＳ ゴシック"/>
        <family val="3"/>
        <charset val="128"/>
      </rPr>
      <t xml:space="preserve">
【収入・所得を入力するときの注意点】
・給与所得者の方は</t>
    </r>
    <r>
      <rPr>
        <b/>
        <sz val="10"/>
        <rFont val="ＭＳ ゴシック"/>
        <family val="3"/>
        <charset val="128"/>
      </rPr>
      <t>「給与収入」欄に、源泉徴収票の支払金額</t>
    </r>
    <r>
      <rPr>
        <sz val="10"/>
        <rFont val="ＭＳ ゴシック"/>
        <family val="3"/>
        <charset val="128"/>
      </rPr>
      <t>を入力してください。
・年金受給者の方は「収入→所得変換シート」にて、収入額から所得額への変更を行ってから</t>
    </r>
    <r>
      <rPr>
        <b/>
        <sz val="10"/>
        <rFont val="ＭＳ ゴシック"/>
        <family val="3"/>
        <charset val="128"/>
      </rPr>
      <t>「年金所得（Ｂ）」欄に</t>
    </r>
    <r>
      <rPr>
        <b/>
        <sz val="10"/>
        <color rgb="FFFF0000"/>
        <rFont val="ＭＳ ゴシック"/>
        <family val="3"/>
        <charset val="128"/>
      </rPr>
      <t>所得額</t>
    </r>
    <r>
      <rPr>
        <sz val="10"/>
        <rFont val="ＭＳ ゴシック"/>
        <family val="3"/>
        <charset val="128"/>
      </rPr>
      <t>を入力してください（公的年金のみ）。
※</t>
    </r>
    <r>
      <rPr>
        <u/>
        <sz val="10"/>
        <rFont val="ＭＳ ゴシック"/>
        <family val="3"/>
        <charset val="128"/>
      </rPr>
      <t>障害年金や遺族年金等の非課税年金の額は入力不要です。</t>
    </r>
    <r>
      <rPr>
        <sz val="10"/>
        <rFont val="ＭＳ ゴシック"/>
        <family val="3"/>
        <charset val="128"/>
      </rPr>
      <t xml:space="preserve">
</t>
    </r>
    <rPh sb="0" eb="2">
      <t>ゼンネン</t>
    </rPh>
    <rPh sb="4" eb="5">
      <t>ガツ</t>
    </rPh>
    <rPh sb="6" eb="7">
      <t>ニチ</t>
    </rPh>
    <rPh sb="10" eb="11">
      <t>ガツ</t>
    </rPh>
    <rPh sb="13" eb="14">
      <t>ニチ</t>
    </rPh>
    <rPh sb="16" eb="18">
      <t>ショトク</t>
    </rPh>
    <rPh sb="18" eb="20">
      <t>ジョウホウ</t>
    </rPh>
    <rPh sb="21" eb="23">
      <t>ニュウリョク</t>
    </rPh>
    <rPh sb="31" eb="34">
      <t>セタイヌシ</t>
    </rPh>
    <rPh sb="35" eb="36">
      <t>カタ</t>
    </rPh>
    <rPh sb="38" eb="40">
      <t>コクホ</t>
    </rPh>
    <rPh sb="41" eb="43">
      <t>カニュウ</t>
    </rPh>
    <rPh sb="46" eb="48">
      <t>バアイ</t>
    </rPh>
    <rPh sb="67" eb="68">
      <t>カナラ</t>
    </rPh>
    <rPh sb="81" eb="83">
      <t>シュウニュウ</t>
    </rPh>
    <rPh sb="162" eb="164">
      <t>シュウニュウ</t>
    </rPh>
    <rPh sb="164" eb="165">
      <t>ガク</t>
    </rPh>
    <rPh sb="167" eb="169">
      <t>ショトク</t>
    </rPh>
    <rPh sb="169" eb="170">
      <t>ガク</t>
    </rPh>
    <rPh sb="172" eb="174">
      <t>ヘンコウ</t>
    </rPh>
    <rPh sb="175" eb="176">
      <t>オコナ</t>
    </rPh>
    <rPh sb="189" eb="190">
      <t>ラン</t>
    </rPh>
    <rPh sb="191" eb="193">
      <t>ショトク</t>
    </rPh>
    <rPh sb="193" eb="194">
      <t>ガク</t>
    </rPh>
    <rPh sb="195" eb="197">
      <t>ニュウリョク</t>
    </rPh>
    <phoneticPr fontId="11"/>
  </si>
  <si>
    <r>
      <rPr>
        <u/>
        <sz val="10"/>
        <rFont val="ＭＳ ゴシック"/>
        <family val="3"/>
        <charset val="128"/>
      </rPr>
      <t>今年度</t>
    </r>
    <r>
      <rPr>
        <sz val="10"/>
        <rFont val="ＭＳ ゴシック"/>
        <family val="3"/>
        <charset val="128"/>
      </rPr>
      <t xml:space="preserve">の固定資産税額を入力してください。
</t>
    </r>
    <r>
      <rPr>
        <sz val="10"/>
        <color rgb="FFFF0000"/>
        <rFont val="ＭＳ ゴシック"/>
        <family val="3"/>
        <charset val="128"/>
      </rPr>
      <t>国保に加入しない世帯主の方は、入力不要です。</t>
    </r>
    <rPh sb="0" eb="3">
      <t>コンネンド</t>
    </rPh>
    <rPh sb="4" eb="10">
      <t>コテイシサンゼイガク</t>
    </rPh>
    <rPh sb="11" eb="13">
      <t>ニュウリョク</t>
    </rPh>
    <rPh sb="29" eb="32">
      <t>セタイヌシ</t>
    </rPh>
    <rPh sb="38" eb="40">
      <t>フヨウ</t>
    </rPh>
    <phoneticPr fontId="11"/>
  </si>
  <si>
    <r>
      <t xml:space="preserve">世帯主の「加入状況・年齢区分」欄の右端に表示される▼をクリックして、該当する国保加入状況と年齢区分を選択してください。
</t>
    </r>
    <r>
      <rPr>
        <sz val="10"/>
        <color rgb="FFFF0000"/>
        <rFont val="ＭＳ ゴシック"/>
        <family val="3"/>
        <charset val="128"/>
      </rPr>
      <t>国保に加入しない世帯主の方も、必ず入力してください。</t>
    </r>
    <r>
      <rPr>
        <sz val="10"/>
        <rFont val="ＭＳ ゴシック"/>
        <family val="3"/>
        <charset val="128"/>
      </rPr>
      <t xml:space="preserve">
国保に加入しない方は、「未加入　64歳以下」「未加入　65歳以上」を選択してください。</t>
    </r>
    <rPh sb="0" eb="3">
      <t>セタイヌシ</t>
    </rPh>
    <rPh sb="17" eb="19">
      <t>ミギハシ</t>
    </rPh>
    <rPh sb="20" eb="22">
      <t>ヒョウジ</t>
    </rPh>
    <rPh sb="34" eb="36">
      <t>ガイトウ</t>
    </rPh>
    <rPh sb="38" eb="40">
      <t>コクホ</t>
    </rPh>
    <rPh sb="40" eb="42">
      <t>カニュウ</t>
    </rPh>
    <rPh sb="42" eb="44">
      <t>ジョウキョウ</t>
    </rPh>
    <rPh sb="45" eb="47">
      <t>ネンレイ</t>
    </rPh>
    <rPh sb="47" eb="49">
      <t>クブン</t>
    </rPh>
    <rPh sb="50" eb="52">
      <t>センタク</t>
    </rPh>
    <rPh sb="68" eb="71">
      <t>セタイヌシ</t>
    </rPh>
    <rPh sb="75" eb="76">
      <t>カナラ</t>
    </rPh>
    <rPh sb="105" eb="106">
      <t>サイ</t>
    </rPh>
    <rPh sb="106" eb="108">
      <t>イカ</t>
    </rPh>
    <rPh sb="116" eb="117">
      <t>サイ</t>
    </rPh>
    <rPh sb="117" eb="119">
      <t>イジョウ</t>
    </rPh>
    <phoneticPr fontId="11"/>
  </si>
  <si>
    <t>世帯主の方以外に国保加入者がいる場合は、その人数に合わせて「加入状況・年齢区分」欄の右端に表示される▼をクリックして該当する年齢区分を選択してください。
世帯主のみの単身世帯の場合や、世帯主以外に国保に加入する方がいない場合は、入力不要です。</t>
    <rPh sb="0" eb="3">
      <t>セタイヌシ</t>
    </rPh>
    <rPh sb="4" eb="5">
      <t>カタ</t>
    </rPh>
    <rPh sb="5" eb="7">
      <t>イガイ</t>
    </rPh>
    <rPh sb="8" eb="10">
      <t>コクホ</t>
    </rPh>
    <rPh sb="10" eb="13">
      <t>カニュウシャ</t>
    </rPh>
    <rPh sb="16" eb="18">
      <t>バアイ</t>
    </rPh>
    <rPh sb="22" eb="24">
      <t>ニンズ</t>
    </rPh>
    <rPh sb="25" eb="26">
      <t>ア</t>
    </rPh>
    <rPh sb="116" eb="118">
      <t>フヨウ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</si>
</sst>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_ "/>
    <numFmt numFmtId="178" formatCode="0.0%"/>
    <numFmt numFmtId="179" formatCode="0&quot;人&quot;"/>
    <numFmt numFmtId="180" formatCode="#,##0&quot;円&quot;;\-#,##0&quot;円&quot;"/>
  </numFmts>
  <fonts count="3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6"/>
      <name val="ＭＳ ゴシック"/>
      <family val="3"/>
      <charset val="128"/>
    </font>
    <font>
      <sz val="12"/>
      <color theme="1"/>
      <name val="游ゴシック"/>
      <family val="2"/>
      <charset val="128"/>
      <scheme val="minor"/>
    </font>
    <font>
      <sz val="11"/>
      <color theme="1"/>
      <name val="游ゴシック"/>
      <family val="3"/>
      <charset val="128"/>
      <scheme val="minor"/>
    </font>
    <font>
      <b/>
      <sz val="16"/>
      <color rgb="FFFF0000"/>
      <name val="游ゴシック"/>
      <family val="3"/>
      <charset val="128"/>
      <scheme val="minor"/>
    </font>
    <font>
      <b/>
      <sz val="18"/>
      <color theme="0"/>
      <name val="ＭＳ ゴシック"/>
      <family val="3"/>
      <charset val="128"/>
    </font>
    <font>
      <sz val="6"/>
      <name val="游ゴシック"/>
      <family val="3"/>
      <charset val="128"/>
      <scheme val="minor"/>
    </font>
    <font>
      <sz val="11"/>
      <name val="ＭＳ ゴシック"/>
      <family val="3"/>
      <charset val="128"/>
    </font>
    <font>
      <sz val="10"/>
      <name val="ＭＳ ゴシック"/>
      <family val="3"/>
      <charset val="128"/>
    </font>
    <font>
      <b/>
      <sz val="10"/>
      <name val="ＭＳ ゴシック"/>
      <family val="3"/>
      <charset val="128"/>
    </font>
    <font>
      <sz val="10"/>
      <color rgb="FFFF0000"/>
      <name val="ＭＳ ゴシック"/>
      <family val="3"/>
      <charset val="128"/>
    </font>
    <font>
      <b/>
      <sz val="20"/>
      <name val="ＭＳ ゴシック"/>
      <family val="3"/>
      <charset val="128"/>
    </font>
    <font>
      <sz val="18"/>
      <color theme="0"/>
      <name val="ＭＳ ゴシック"/>
      <family val="3"/>
      <charset val="128"/>
    </font>
    <font>
      <sz val="11"/>
      <name val="游ゴシック"/>
      <family val="2"/>
      <scheme val="minor"/>
    </font>
    <font>
      <u/>
      <sz val="10"/>
      <name val="ＭＳ ゴシック"/>
      <family val="3"/>
      <charset val="128"/>
    </font>
    <font>
      <b/>
      <sz val="18"/>
      <color theme="0"/>
      <name val="HG丸ｺﾞｼｯｸM-PRO"/>
      <family val="3"/>
      <charset val="128"/>
    </font>
    <font>
      <b/>
      <sz val="10"/>
      <color rgb="FFFF0000"/>
      <name val="ＭＳ ゴシック"/>
      <family val="3"/>
      <charset val="128"/>
    </font>
    <font>
      <b/>
      <sz val="14"/>
      <color theme="1"/>
      <name val="游ゴシック"/>
      <family val="3"/>
      <charset val="128"/>
      <scheme val="minor"/>
    </font>
    <font>
      <sz val="10"/>
      <color indexed="81"/>
      <name val="MS P ゴシック"/>
      <family val="3"/>
      <charset val="128"/>
    </font>
    <font>
      <b/>
      <sz val="10"/>
      <color indexed="81"/>
      <name val="MS P ゴシック"/>
      <family val="3"/>
      <charset val="128"/>
    </font>
    <font>
      <sz val="11"/>
      <name val="游ゴシック"/>
      <family val="2"/>
      <charset val="128"/>
      <scheme val="minor"/>
    </font>
    <font>
      <b/>
      <sz val="11"/>
      <name val="HG丸ｺﾞｼｯｸM-PRO"/>
      <family val="3"/>
      <charset val="128"/>
    </font>
    <font>
      <b/>
      <sz val="11"/>
      <color rgb="FFFF0000"/>
      <name val="游ゴシック"/>
      <family val="3"/>
      <charset val="128"/>
      <scheme val="minor"/>
    </font>
    <font>
      <b/>
      <u/>
      <sz val="10"/>
      <color theme="1"/>
      <name val="游ゴシック"/>
      <family val="3"/>
      <charset val="128"/>
      <scheme val="minor"/>
    </font>
    <font>
      <b/>
      <i/>
      <u/>
      <sz val="11"/>
      <color rgb="FFFF0000"/>
      <name val="游ゴシック"/>
      <family val="3"/>
      <charset val="128"/>
      <scheme val="minor"/>
    </font>
    <font>
      <sz val="10.5"/>
      <color theme="1"/>
      <name val="游ゴシック"/>
      <family val="3"/>
      <charset val="128"/>
      <scheme val="minor"/>
    </font>
    <font>
      <b/>
      <sz val="11"/>
      <color rgb="FF0070C0"/>
      <name val="游ゴシック"/>
      <family val="3"/>
      <charset val="128"/>
      <scheme val="minor"/>
    </font>
    <font>
      <sz val="9"/>
      <color theme="1"/>
      <name val="游ゴシック"/>
      <family val="2"/>
      <charset val="128"/>
      <scheme val="minor"/>
    </font>
    <font>
      <sz val="11"/>
      <color theme="1"/>
      <name val="Microsoft JhengHei"/>
      <family val="2"/>
    </font>
    <font>
      <sz val="10"/>
      <color theme="1"/>
      <name val="游ゴシック"/>
      <family val="3"/>
      <charset val="128"/>
      <scheme val="minor"/>
    </font>
    <font>
      <b/>
      <sz val="10"/>
      <color theme="1"/>
      <name val="游ゴシック"/>
      <family val="3"/>
      <charset val="128"/>
      <scheme val="minor"/>
    </font>
    <font>
      <b/>
      <sz val="12"/>
      <name val="ＭＳ ゴシック"/>
      <family val="3"/>
      <charset val="128"/>
    </font>
    <font>
      <b/>
      <sz val="12"/>
      <color theme="1"/>
      <name val="游ゴシック"/>
      <family val="3"/>
      <charset val="128"/>
      <scheme val="minor"/>
    </font>
    <font>
      <sz val="6"/>
      <name val="游ゴシック"/>
      <family val="3"/>
    </font>
  </fonts>
  <fills count="13">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rgb="FFFFFF66"/>
        <bgColor indexed="64"/>
      </patternFill>
    </fill>
    <fill>
      <patternFill patternType="solid">
        <fgColor rgb="FFFFFF99"/>
        <bgColor indexed="64"/>
      </patternFill>
    </fill>
    <fill>
      <patternFill patternType="solid">
        <fgColor theme="7" tint="0.79998168889431442"/>
        <bgColor indexed="64"/>
      </patternFill>
    </fill>
    <fill>
      <patternFill patternType="solid">
        <fgColor rgb="FFDEFEF0"/>
        <bgColor indexed="64"/>
      </patternFill>
    </fill>
    <fill>
      <patternFill patternType="solid">
        <fgColor rgb="FFE2FCC0"/>
        <bgColor indexed="64"/>
      </patternFill>
    </fill>
    <fill>
      <patternFill patternType="solid">
        <fgColor rgb="FFDEF5A5"/>
        <bgColor indexed="64"/>
      </patternFill>
    </fill>
    <fill>
      <patternFill patternType="solid">
        <fgColor rgb="FFD90D86"/>
        <bgColor indexed="64"/>
      </patternFill>
    </fill>
    <fill>
      <patternFill patternType="solid">
        <fgColor rgb="FF00B0F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thin">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thin">
        <color indexed="64"/>
      </top>
      <bottom/>
      <diagonal/>
    </border>
    <border>
      <left style="double">
        <color auto="1"/>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18">
    <xf numFmtId="0" fontId="0" fillId="0" borderId="0" xfId="0">
      <alignment vertical="center"/>
    </xf>
    <xf numFmtId="0" fontId="22" fillId="0" borderId="0" xfId="0" applyFont="1">
      <alignment vertical="center"/>
    </xf>
    <xf numFmtId="38" fontId="0" fillId="0" borderId="0" xfId="1" applyFont="1" applyProtection="1">
      <alignment vertical="center"/>
    </xf>
    <xf numFmtId="38" fontId="0" fillId="0" borderId="0" xfId="1" applyFont="1" applyFill="1" applyProtection="1">
      <alignment vertical="center"/>
    </xf>
    <xf numFmtId="0" fontId="9" fillId="0" borderId="0" xfId="0" applyFont="1">
      <alignment vertical="center"/>
    </xf>
    <xf numFmtId="38" fontId="0" fillId="0" borderId="0" xfId="1" applyFont="1" applyBorder="1" applyAlignment="1" applyProtection="1">
      <alignment vertical="center"/>
    </xf>
    <xf numFmtId="0" fontId="8" fillId="0" borderId="33" xfId="0" applyFont="1" applyBorder="1" applyAlignment="1">
      <alignment horizontal="center" vertical="center"/>
    </xf>
    <xf numFmtId="0" fontId="8" fillId="0" borderId="33" xfId="0" applyFont="1" applyBorder="1" applyAlignment="1">
      <alignment horizontal="left" vertical="center" wrapText="1"/>
    </xf>
    <xf numFmtId="0" fontId="0" fillId="0" borderId="18" xfId="0" applyBorder="1">
      <alignment vertical="center"/>
    </xf>
    <xf numFmtId="38" fontId="0" fillId="0" borderId="18" xfId="1" applyFont="1" applyBorder="1" applyProtection="1">
      <alignment vertical="center"/>
    </xf>
    <xf numFmtId="38" fontId="0" fillId="0" borderId="11" xfId="1" applyFont="1" applyBorder="1" applyProtection="1">
      <alignment vertical="center"/>
    </xf>
    <xf numFmtId="38" fontId="0" fillId="0" borderId="18" xfId="1" applyFont="1" applyBorder="1" applyAlignment="1" applyProtection="1">
      <alignment vertical="center" wrapText="1"/>
    </xf>
    <xf numFmtId="0" fontId="5" fillId="2" borderId="13" xfId="0" applyFont="1" applyFill="1" applyBorder="1" applyAlignment="1">
      <alignment horizontal="left" vertical="center"/>
    </xf>
    <xf numFmtId="0" fontId="5" fillId="2" borderId="11" xfId="0" applyFont="1" applyFill="1" applyBorder="1" applyAlignment="1">
      <alignment horizontal="center" vertical="center"/>
    </xf>
    <xf numFmtId="38" fontId="5" fillId="0" borderId="18" xfId="1" applyFont="1" applyFill="1" applyBorder="1" applyAlignment="1" applyProtection="1">
      <alignment horizontal="center" vertical="center"/>
    </xf>
    <xf numFmtId="0" fontId="0" fillId="0" borderId="11" xfId="0" applyBorder="1">
      <alignment vertical="center"/>
    </xf>
    <xf numFmtId="0" fontId="0" fillId="0" borderId="18" xfId="0" applyBorder="1" applyAlignment="1">
      <alignment vertical="center" wrapText="1"/>
    </xf>
    <xf numFmtId="0" fontId="0" fillId="0" borderId="29" xfId="0" applyBorder="1">
      <alignment vertical="center"/>
    </xf>
    <xf numFmtId="0" fontId="0" fillId="0" borderId="34" xfId="0" applyBorder="1">
      <alignment vertical="center"/>
    </xf>
    <xf numFmtId="38" fontId="0" fillId="0" borderId="19" xfId="1" applyFont="1" applyFill="1" applyBorder="1" applyProtection="1">
      <alignment vertical="center"/>
    </xf>
    <xf numFmtId="38" fontId="0" fillId="0" borderId="15" xfId="1" applyFont="1" applyFill="1" applyBorder="1" applyAlignment="1" applyProtection="1">
      <alignment vertical="center"/>
    </xf>
    <xf numFmtId="38" fontId="0" fillId="0" borderId="19" xfId="1" applyFont="1" applyBorder="1" applyProtection="1">
      <alignment vertical="center"/>
    </xf>
    <xf numFmtId="38" fontId="0" fillId="0" borderId="0" xfId="1" applyFont="1" applyBorder="1" applyAlignment="1" applyProtection="1">
      <alignment horizontal="center" vertical="center"/>
    </xf>
    <xf numFmtId="38" fontId="0" fillId="3" borderId="0" xfId="1" applyFont="1" applyFill="1" applyBorder="1" applyAlignment="1" applyProtection="1">
      <alignment vertical="center"/>
    </xf>
    <xf numFmtId="38" fontId="0" fillId="0" borderId="45" xfId="1" applyFont="1" applyBorder="1" applyAlignment="1" applyProtection="1">
      <alignment vertical="center"/>
    </xf>
    <xf numFmtId="38" fontId="0" fillId="3" borderId="14" xfId="1" applyFont="1" applyFill="1" applyBorder="1" applyAlignment="1" applyProtection="1">
      <alignment horizontal="right" vertical="center"/>
    </xf>
    <xf numFmtId="0" fontId="0" fillId="0" borderId="15" xfId="0" applyBorder="1">
      <alignment vertical="center"/>
    </xf>
    <xf numFmtId="38" fontId="0" fillId="0" borderId="19" xfId="1" applyFont="1" applyFill="1" applyBorder="1" applyAlignment="1" applyProtection="1">
      <alignment vertical="center"/>
    </xf>
    <xf numFmtId="0" fontId="0" fillId="0" borderId="19" xfId="0" applyBorder="1" applyAlignment="1">
      <alignment horizontal="right" vertical="center"/>
    </xf>
    <xf numFmtId="0" fontId="0" fillId="0" borderId="25" xfId="0" applyBorder="1">
      <alignment vertical="center"/>
    </xf>
    <xf numFmtId="38" fontId="0" fillId="0" borderId="7" xfId="1" applyFont="1" applyFill="1" applyBorder="1" applyAlignment="1" applyProtection="1">
      <alignment vertical="center"/>
    </xf>
    <xf numFmtId="38" fontId="0" fillId="0" borderId="9" xfId="1" applyFont="1" applyBorder="1" applyProtection="1">
      <alignment vertical="center"/>
    </xf>
    <xf numFmtId="38" fontId="0" fillId="0" borderId="7" xfId="1" applyFont="1" applyBorder="1" applyProtection="1">
      <alignment vertical="center"/>
    </xf>
    <xf numFmtId="38" fontId="0" fillId="0" borderId="7" xfId="1" applyFont="1" applyBorder="1" applyAlignment="1" applyProtection="1">
      <alignment horizontal="center" vertical="center"/>
    </xf>
    <xf numFmtId="38" fontId="0" fillId="3" borderId="7" xfId="1" applyFont="1" applyFill="1" applyBorder="1" applyAlignment="1" applyProtection="1">
      <alignment vertical="center"/>
    </xf>
    <xf numFmtId="38" fontId="0" fillId="0" borderId="3" xfId="1" applyFont="1" applyBorder="1" applyAlignment="1" applyProtection="1">
      <alignment vertical="center"/>
    </xf>
    <xf numFmtId="0" fontId="0" fillId="0" borderId="7" xfId="0" applyBorder="1">
      <alignment vertical="center"/>
    </xf>
    <xf numFmtId="38" fontId="0" fillId="3" borderId="7" xfId="1" applyFont="1" applyFill="1" applyBorder="1" applyProtection="1">
      <alignment vertical="center"/>
    </xf>
    <xf numFmtId="38" fontId="0" fillId="0" borderId="3" xfId="1" applyFont="1" applyBorder="1" applyProtection="1">
      <alignment vertical="center"/>
    </xf>
    <xf numFmtId="0" fontId="0" fillId="0" borderId="2" xfId="0" applyBorder="1" applyAlignment="1">
      <alignment vertical="center" shrinkToFit="1"/>
    </xf>
    <xf numFmtId="38" fontId="0" fillId="0" borderId="7" xfId="1" applyFont="1" applyFill="1" applyBorder="1" applyAlignment="1" applyProtection="1">
      <alignment horizontal="center" vertical="center"/>
    </xf>
    <xf numFmtId="9" fontId="0" fillId="3" borderId="7" xfId="2" applyFont="1" applyFill="1" applyBorder="1" applyAlignment="1" applyProtection="1">
      <alignment horizontal="center" vertical="center"/>
    </xf>
    <xf numFmtId="0" fontId="0" fillId="0" borderId="8" xfId="0" applyBorder="1">
      <alignment vertical="center"/>
    </xf>
    <xf numFmtId="38" fontId="0" fillId="0" borderId="8" xfId="1" applyFont="1" applyFill="1" applyBorder="1" applyProtection="1">
      <alignment vertical="center"/>
    </xf>
    <xf numFmtId="38" fontId="0" fillId="0" borderId="8" xfId="1" applyFont="1" applyBorder="1" applyProtection="1">
      <alignment vertical="center"/>
    </xf>
    <xf numFmtId="38" fontId="0" fillId="0" borderId="8" xfId="1" applyFont="1" applyBorder="1" applyAlignment="1" applyProtection="1">
      <alignment horizontal="center" vertical="center"/>
    </xf>
    <xf numFmtId="0" fontId="0" fillId="0" borderId="5" xfId="0" applyBorder="1">
      <alignment vertical="center"/>
    </xf>
    <xf numFmtId="38" fontId="0" fillId="3" borderId="6" xfId="1" applyFont="1" applyFill="1" applyBorder="1" applyAlignment="1" applyProtection="1">
      <alignment vertical="center"/>
    </xf>
    <xf numFmtId="0" fontId="0" fillId="0" borderId="54" xfId="0" applyBorder="1">
      <alignment vertical="center"/>
    </xf>
    <xf numFmtId="0" fontId="0" fillId="0" borderId="27" xfId="0" applyBorder="1">
      <alignment vertical="center"/>
    </xf>
    <xf numFmtId="176" fontId="0" fillId="0" borderId="28" xfId="0" applyNumberFormat="1" applyBorder="1">
      <alignment vertical="center"/>
    </xf>
    <xf numFmtId="38" fontId="0" fillId="0" borderId="8" xfId="1" applyFont="1" applyFill="1" applyBorder="1" applyAlignment="1" applyProtection="1">
      <alignment vertical="center"/>
    </xf>
    <xf numFmtId="38" fontId="0" fillId="0" borderId="10" xfId="1" applyFont="1" applyBorder="1" applyProtection="1">
      <alignment vertical="center"/>
    </xf>
    <xf numFmtId="0" fontId="0" fillId="0" borderId="55" xfId="0" applyBorder="1" applyAlignment="1">
      <alignment horizontal="right" vertical="center"/>
    </xf>
    <xf numFmtId="38" fontId="0" fillId="0" borderId="54" xfId="1" applyFont="1" applyBorder="1" applyProtection="1">
      <alignment vertical="center"/>
    </xf>
    <xf numFmtId="0" fontId="27" fillId="0" borderId="0" xfId="0" applyFont="1">
      <alignment vertical="center"/>
    </xf>
    <xf numFmtId="0" fontId="0" fillId="0" borderId="0" xfId="0" applyAlignment="1">
      <alignment horizontal="center" vertical="center"/>
    </xf>
    <xf numFmtId="0" fontId="8" fillId="0" borderId="0" xfId="0" applyFont="1">
      <alignment vertical="center"/>
    </xf>
    <xf numFmtId="0" fontId="7" fillId="0" borderId="0" xfId="0" applyFont="1">
      <alignment vertical="center"/>
    </xf>
    <xf numFmtId="49" fontId="0" fillId="5" borderId="44" xfId="0" applyNumberFormat="1" applyFill="1" applyBorder="1">
      <alignment vertical="center"/>
    </xf>
    <xf numFmtId="49" fontId="0" fillId="5" borderId="50" xfId="0" applyNumberFormat="1" applyFill="1" applyBorder="1" applyAlignment="1">
      <alignment horizontal="center" vertical="center"/>
    </xf>
    <xf numFmtId="49" fontId="0" fillId="5" borderId="47" xfId="0" applyNumberFormat="1" applyFill="1" applyBorder="1" applyAlignment="1">
      <alignment horizontal="center" vertical="center"/>
    </xf>
    <xf numFmtId="49" fontId="0" fillId="5" borderId="49" xfId="0" applyNumberFormat="1" applyFill="1" applyBorder="1">
      <alignment vertical="center"/>
    </xf>
    <xf numFmtId="38" fontId="0" fillId="6" borderId="48" xfId="1" applyFont="1" applyFill="1" applyBorder="1" applyAlignment="1" applyProtection="1">
      <alignment horizontal="center" vertical="center"/>
    </xf>
    <xf numFmtId="49" fontId="0" fillId="5" borderId="34" xfId="0" applyNumberFormat="1" applyFill="1" applyBorder="1">
      <alignment vertical="center"/>
    </xf>
    <xf numFmtId="0" fontId="8" fillId="0" borderId="33" xfId="0" applyFont="1" applyBorder="1">
      <alignment vertical="center"/>
    </xf>
    <xf numFmtId="49" fontId="0" fillId="5" borderId="35" xfId="0" applyNumberFormat="1" applyFill="1" applyBorder="1">
      <alignment vertical="center"/>
    </xf>
    <xf numFmtId="0" fontId="29" fillId="0" borderId="0" xfId="0" applyFont="1">
      <alignment vertical="center"/>
    </xf>
    <xf numFmtId="49" fontId="0" fillId="5" borderId="10" xfId="0" applyNumberFormat="1" applyFill="1" applyBorder="1">
      <alignment vertical="center"/>
    </xf>
    <xf numFmtId="0" fontId="0" fillId="5" borderId="83" xfId="0" applyFill="1" applyBorder="1">
      <alignment vertical="center"/>
    </xf>
    <xf numFmtId="38" fontId="0" fillId="3" borderId="84" xfId="1" applyFont="1" applyFill="1" applyBorder="1" applyProtection="1">
      <alignment vertical="center"/>
    </xf>
    <xf numFmtId="38" fontId="0" fillId="3" borderId="85" xfId="1" applyFont="1" applyFill="1" applyBorder="1" applyProtection="1">
      <alignment vertical="center"/>
    </xf>
    <xf numFmtId="38" fontId="0" fillId="0" borderId="29" xfId="1" applyFont="1" applyBorder="1" applyProtection="1">
      <alignment vertical="center"/>
    </xf>
    <xf numFmtId="38" fontId="0" fillId="0" borderId="30" xfId="1" applyFont="1" applyBorder="1" applyProtection="1">
      <alignment vertical="center"/>
    </xf>
    <xf numFmtId="38" fontId="0" fillId="0" borderId="31" xfId="1" applyFont="1" applyBorder="1" applyProtection="1">
      <alignment vertical="center"/>
    </xf>
    <xf numFmtId="38" fontId="0" fillId="0" borderId="25" xfId="1" applyFont="1" applyBorder="1" applyProtection="1">
      <alignment vertical="center"/>
    </xf>
    <xf numFmtId="38" fontId="0" fillId="0" borderId="1" xfId="1" applyFont="1" applyBorder="1" applyProtection="1">
      <alignment vertical="center"/>
    </xf>
    <xf numFmtId="38" fontId="0" fillId="0" borderId="26" xfId="1" applyFont="1" applyBorder="1" applyProtection="1">
      <alignment vertical="center"/>
    </xf>
    <xf numFmtId="38" fontId="0" fillId="0" borderId="27" xfId="1" applyFont="1" applyBorder="1" applyProtection="1">
      <alignment vertical="center"/>
    </xf>
    <xf numFmtId="38" fontId="0" fillId="0" borderId="28" xfId="1" applyFont="1" applyBorder="1" applyProtection="1">
      <alignment vertical="center"/>
    </xf>
    <xf numFmtId="38" fontId="0" fillId="0" borderId="52" xfId="1" applyFont="1" applyBorder="1" applyProtection="1">
      <alignment vertical="center"/>
    </xf>
    <xf numFmtId="0" fontId="0" fillId="0" borderId="0" xfId="0" applyProtection="1">
      <alignment vertical="center"/>
      <protection locked="0"/>
    </xf>
    <xf numFmtId="0" fontId="26" fillId="0" borderId="0" xfId="0" applyFont="1" applyAlignment="1">
      <alignment horizontal="center" vertical="center"/>
    </xf>
    <xf numFmtId="0" fontId="25" fillId="0" borderId="0" xfId="0" applyFont="1">
      <alignment vertical="center"/>
    </xf>
    <xf numFmtId="0" fontId="4" fillId="0" borderId="0" xfId="0" applyFont="1" applyAlignment="1">
      <alignment horizontal="center" vertical="center" wrapText="1"/>
    </xf>
    <xf numFmtId="0" fontId="0" fillId="9" borderId="1" xfId="0" applyFill="1" applyBorder="1">
      <alignment vertical="center"/>
    </xf>
    <xf numFmtId="0" fontId="0" fillId="0" borderId="36" xfId="0" applyBorder="1">
      <alignment vertical="center"/>
    </xf>
    <xf numFmtId="0" fontId="0" fillId="0" borderId="1" xfId="0" applyBorder="1">
      <alignment vertical="center"/>
    </xf>
    <xf numFmtId="177" fontId="0" fillId="0" borderId="0" xfId="0" applyNumberFormat="1" applyAlignment="1">
      <alignment horizontal="center" vertical="center"/>
    </xf>
    <xf numFmtId="0" fontId="0" fillId="0" borderId="1" xfId="0" applyBorder="1" applyAlignment="1">
      <alignment vertical="center" wrapText="1"/>
    </xf>
    <xf numFmtId="177" fontId="0" fillId="0" borderId="42" xfId="0" applyNumberFormat="1" applyBorder="1">
      <alignment vertical="center"/>
    </xf>
    <xf numFmtId="0" fontId="0" fillId="0" borderId="41" xfId="0" applyBorder="1">
      <alignment vertical="center"/>
    </xf>
    <xf numFmtId="177" fontId="0" fillId="0" borderId="2" xfId="0" applyNumberFormat="1" applyBorder="1">
      <alignment vertical="center"/>
    </xf>
    <xf numFmtId="177" fontId="0" fillId="0" borderId="7" xfId="0" applyNumberFormat="1" applyBorder="1" applyAlignment="1">
      <alignment horizontal="center" vertical="center"/>
    </xf>
    <xf numFmtId="177" fontId="0" fillId="0" borderId="3" xfId="0" applyNumberFormat="1" applyBorder="1">
      <alignment vertical="center"/>
    </xf>
    <xf numFmtId="0" fontId="28" fillId="0" borderId="0" xfId="0" applyFont="1" applyAlignment="1">
      <alignment vertical="top" wrapText="1"/>
    </xf>
    <xf numFmtId="0" fontId="0" fillId="0" borderId="67" xfId="0" applyBorder="1">
      <alignment vertical="center"/>
    </xf>
    <xf numFmtId="38" fontId="0" fillId="0" borderId="65" xfId="1" applyFont="1" applyBorder="1" applyProtection="1">
      <alignment vertical="center"/>
    </xf>
    <xf numFmtId="38" fontId="0" fillId="0" borderId="68" xfId="1" applyFont="1" applyBorder="1" applyProtection="1">
      <alignment vertical="center"/>
    </xf>
    <xf numFmtId="0" fontId="0" fillId="0" borderId="69" xfId="0" applyBorder="1">
      <alignment vertical="center"/>
    </xf>
    <xf numFmtId="38" fontId="0" fillId="0" borderId="64" xfId="1" applyFont="1" applyBorder="1" applyProtection="1">
      <alignment vertical="center"/>
    </xf>
    <xf numFmtId="38" fontId="0" fillId="0" borderId="70" xfId="1" applyFont="1" applyBorder="1" applyProtection="1">
      <alignment vertical="center"/>
    </xf>
    <xf numFmtId="0" fontId="0" fillId="0" borderId="63" xfId="0" applyBorder="1">
      <alignment vertical="center"/>
    </xf>
    <xf numFmtId="0" fontId="0" fillId="0" borderId="71" xfId="0" applyBorder="1">
      <alignment vertical="center"/>
    </xf>
    <xf numFmtId="38" fontId="0" fillId="0" borderId="72" xfId="1" applyFont="1" applyBorder="1" applyProtection="1">
      <alignment vertical="center"/>
    </xf>
    <xf numFmtId="38" fontId="0" fillId="0" borderId="73" xfId="1" applyFont="1" applyBorder="1" applyProtection="1">
      <alignment vertical="center"/>
    </xf>
    <xf numFmtId="0" fontId="0" fillId="0" borderId="77" xfId="0" applyBorder="1">
      <alignment vertical="center"/>
    </xf>
    <xf numFmtId="38" fontId="0" fillId="0" borderId="78" xfId="1" applyFont="1" applyBorder="1" applyProtection="1">
      <alignment vertical="center"/>
    </xf>
    <xf numFmtId="38" fontId="0" fillId="0" borderId="74" xfId="1" applyFont="1" applyBorder="1" applyProtection="1">
      <alignment vertical="center"/>
    </xf>
    <xf numFmtId="38" fontId="0" fillId="0" borderId="75" xfId="1" applyFont="1" applyBorder="1" applyProtection="1">
      <alignment vertical="center"/>
    </xf>
    <xf numFmtId="38" fontId="0" fillId="7" borderId="44" xfId="1" applyFont="1" applyFill="1" applyBorder="1" applyProtection="1">
      <alignment vertical="center"/>
    </xf>
    <xf numFmtId="0" fontId="0" fillId="7" borderId="79" xfId="0" applyFill="1" applyBorder="1" applyAlignment="1">
      <alignment vertical="center" wrapText="1"/>
    </xf>
    <xf numFmtId="38" fontId="0" fillId="7" borderId="80" xfId="1" applyFont="1" applyFill="1" applyBorder="1" applyProtection="1">
      <alignment vertical="center"/>
    </xf>
    <xf numFmtId="38" fontId="0" fillId="0" borderId="76" xfId="1" applyFont="1" applyBorder="1" applyProtection="1">
      <alignment vertical="center"/>
    </xf>
    <xf numFmtId="38" fontId="0" fillId="0" borderId="66" xfId="1" applyFont="1" applyBorder="1" applyProtection="1">
      <alignment vertical="center"/>
    </xf>
    <xf numFmtId="0" fontId="0" fillId="0" borderId="0" xfId="0" applyAlignment="1">
      <alignment horizontal="right" vertical="center"/>
    </xf>
    <xf numFmtId="0" fontId="12" fillId="0" borderId="0" xfId="0" applyFont="1" applyProtection="1">
      <alignment vertical="center"/>
      <protection locked="0"/>
    </xf>
    <xf numFmtId="0" fontId="13" fillId="0" borderId="1" xfId="0" applyFont="1" applyBorder="1" applyProtection="1">
      <alignment vertical="center"/>
      <protection locked="0"/>
    </xf>
    <xf numFmtId="0" fontId="13" fillId="0" borderId="1" xfId="0" applyFont="1" applyBorder="1" applyAlignment="1" applyProtection="1">
      <alignment vertical="center" wrapText="1"/>
      <protection locked="0"/>
    </xf>
    <xf numFmtId="0" fontId="16" fillId="0" borderId="7" xfId="0" applyFont="1" applyBorder="1" applyProtection="1">
      <alignment vertical="center"/>
      <protection locked="0"/>
    </xf>
    <xf numFmtId="0" fontId="13" fillId="0" borderId="0" xfId="0" applyFont="1" applyProtection="1">
      <alignment vertical="center"/>
      <protection locked="0"/>
    </xf>
    <xf numFmtId="0" fontId="18" fillId="0" borderId="0" xfId="0" applyFont="1" applyProtection="1">
      <alignment vertical="center"/>
      <protection locked="0"/>
    </xf>
    <xf numFmtId="176" fontId="0" fillId="0" borderId="43" xfId="0" applyNumberFormat="1" applyBorder="1">
      <alignment vertical="center"/>
    </xf>
    <xf numFmtId="10" fontId="0" fillId="0" borderId="16" xfId="2" applyNumberFormat="1" applyFont="1" applyBorder="1" applyProtection="1">
      <alignment vertical="center"/>
    </xf>
    <xf numFmtId="38" fontId="0" fillId="0" borderId="31" xfId="1" applyFont="1" applyBorder="1" applyAlignment="1" applyProtection="1">
      <alignment horizontal="center" vertical="center"/>
    </xf>
    <xf numFmtId="176" fontId="0" fillId="0" borderId="37" xfId="0" applyNumberFormat="1" applyBorder="1">
      <alignment vertical="center"/>
    </xf>
    <xf numFmtId="10" fontId="0" fillId="0" borderId="42" xfId="2" applyNumberFormat="1" applyFont="1" applyBorder="1" applyProtection="1">
      <alignment vertical="center"/>
    </xf>
    <xf numFmtId="176" fontId="0" fillId="0" borderId="27" xfId="0" applyNumberFormat="1" applyBorder="1">
      <alignment vertical="center"/>
    </xf>
    <xf numFmtId="10" fontId="0" fillId="0" borderId="6" xfId="2" applyNumberFormat="1" applyFont="1" applyBorder="1" applyAlignment="1" applyProtection="1">
      <alignment vertical="center"/>
    </xf>
    <xf numFmtId="38" fontId="0" fillId="0" borderId="51" xfId="1" applyFont="1" applyBorder="1" applyAlignment="1" applyProtection="1">
      <alignment horizontal="center" vertical="center"/>
    </xf>
    <xf numFmtId="38" fontId="5" fillId="0" borderId="18" xfId="1" applyFont="1" applyFill="1" applyBorder="1" applyAlignment="1" applyProtection="1">
      <alignment horizontal="center" vertical="center" wrapText="1"/>
    </xf>
    <xf numFmtId="38" fontId="0" fillId="10" borderId="44" xfId="1" applyFont="1" applyFill="1" applyBorder="1" applyProtection="1">
      <alignment vertical="center"/>
    </xf>
    <xf numFmtId="38" fontId="0" fillId="10" borderId="54" xfId="1" applyFont="1" applyFill="1" applyBorder="1" applyProtection="1">
      <alignment vertical="center"/>
    </xf>
    <xf numFmtId="0" fontId="0" fillId="10" borderId="54" xfId="0" applyFill="1" applyBorder="1">
      <alignment vertical="center"/>
    </xf>
    <xf numFmtId="38" fontId="0" fillId="0" borderId="0" xfId="1" applyFont="1" applyFill="1" applyBorder="1" applyProtection="1">
      <alignment vertical="center"/>
    </xf>
    <xf numFmtId="0" fontId="8" fillId="0" borderId="33" xfId="0" applyFont="1" applyBorder="1" applyAlignment="1">
      <alignment horizontal="center" vertical="center" wrapText="1"/>
    </xf>
    <xf numFmtId="0" fontId="0" fillId="0" borderId="20" xfId="0" applyBorder="1">
      <alignment vertical="center"/>
    </xf>
    <xf numFmtId="38" fontId="0" fillId="0" borderId="22" xfId="1" applyFont="1" applyFill="1" applyBorder="1" applyAlignment="1" applyProtection="1">
      <alignment horizontal="right" vertical="center"/>
    </xf>
    <xf numFmtId="0" fontId="0" fillId="4" borderId="89" xfId="0" applyFill="1" applyBorder="1">
      <alignment vertical="center"/>
    </xf>
    <xf numFmtId="0" fontId="0" fillId="4" borderId="90" xfId="0" applyFill="1" applyBorder="1" applyAlignment="1">
      <alignment horizontal="right" vertical="center"/>
    </xf>
    <xf numFmtId="0" fontId="0" fillId="0" borderId="91" xfId="0" applyBorder="1">
      <alignment vertical="center"/>
    </xf>
    <xf numFmtId="38" fontId="0" fillId="0" borderId="92" xfId="1" applyFont="1" applyFill="1" applyBorder="1" applyAlignment="1" applyProtection="1">
      <alignment horizontal="right" vertical="center"/>
    </xf>
    <xf numFmtId="38" fontId="0" fillId="0" borderId="92" xfId="1" applyFont="1" applyBorder="1" applyAlignment="1" applyProtection="1">
      <alignment horizontal="right" vertical="center"/>
    </xf>
    <xf numFmtId="38" fontId="0" fillId="0" borderId="93" xfId="1" applyFont="1" applyBorder="1" applyProtection="1">
      <alignment vertical="center"/>
    </xf>
    <xf numFmtId="0" fontId="30" fillId="0" borderId="18" xfId="0" applyFont="1" applyBorder="1" applyAlignment="1">
      <alignment vertical="center" wrapText="1"/>
    </xf>
    <xf numFmtId="38" fontId="31" fillId="0" borderId="0" xfId="1" applyFont="1" applyFill="1" applyBorder="1" applyProtection="1">
      <alignment vertical="center"/>
    </xf>
    <xf numFmtId="176" fontId="0" fillId="0" borderId="46" xfId="0" applyNumberFormat="1" applyBorder="1" applyAlignment="1">
      <alignment horizontal="right" vertical="center"/>
    </xf>
    <xf numFmtId="176" fontId="0" fillId="0" borderId="38" xfId="0" applyNumberFormat="1" applyBorder="1" applyAlignment="1">
      <alignment horizontal="right" vertical="center"/>
    </xf>
    <xf numFmtId="176" fontId="33" fillId="0" borderId="28" xfId="0" applyNumberFormat="1" applyFont="1" applyBorder="1" applyAlignment="1">
      <alignment horizontal="center" vertical="center"/>
    </xf>
    <xf numFmtId="0" fontId="32" fillId="11" borderId="18" xfId="0" applyFont="1" applyFill="1" applyBorder="1" applyAlignment="1">
      <alignment vertical="center" wrapText="1"/>
    </xf>
    <xf numFmtId="176" fontId="0" fillId="0" borderId="0" xfId="0" applyNumberFormat="1">
      <alignment vertical="center"/>
    </xf>
    <xf numFmtId="0" fontId="0" fillId="0" borderId="0" xfId="0" applyAlignment="1">
      <alignment horizontal="center" vertical="center" wrapText="1"/>
    </xf>
    <xf numFmtId="0" fontId="0" fillId="0" borderId="34" xfId="0" applyBorder="1" applyAlignment="1">
      <alignment horizontal="right" vertical="center"/>
    </xf>
    <xf numFmtId="0" fontId="0" fillId="10" borderId="94" xfId="0" applyFill="1" applyBorder="1">
      <alignment vertical="center"/>
    </xf>
    <xf numFmtId="0" fontId="8" fillId="0" borderId="95" xfId="0" applyFont="1" applyBorder="1">
      <alignment vertical="center"/>
    </xf>
    <xf numFmtId="38" fontId="0" fillId="6" borderId="44" xfId="1" applyFont="1" applyFill="1" applyBorder="1" applyAlignment="1" applyProtection="1">
      <alignment horizontal="center" vertical="center"/>
    </xf>
    <xf numFmtId="178" fontId="0" fillId="0" borderId="34" xfId="1" applyNumberFormat="1" applyFont="1" applyBorder="1" applyAlignment="1" applyProtection="1">
      <alignment horizontal="center" vertical="center"/>
    </xf>
    <xf numFmtId="178" fontId="0" fillId="0" borderId="44" xfId="1" applyNumberFormat="1" applyFont="1" applyBorder="1" applyAlignment="1" applyProtection="1">
      <alignment horizontal="center" vertical="center"/>
    </xf>
    <xf numFmtId="0" fontId="8" fillId="0" borderId="58" xfId="0" applyFont="1" applyBorder="1">
      <alignment vertical="center"/>
    </xf>
    <xf numFmtId="0" fontId="13" fillId="0" borderId="0" xfId="0" applyFont="1" applyAlignment="1" applyProtection="1">
      <alignment vertical="center" wrapText="1"/>
      <protection locked="0"/>
    </xf>
    <xf numFmtId="176" fontId="0" fillId="3" borderId="30" xfId="1" applyNumberFormat="1" applyFont="1" applyFill="1" applyBorder="1" applyAlignment="1" applyProtection="1">
      <alignment vertical="center"/>
      <protection locked="0"/>
    </xf>
    <xf numFmtId="176" fontId="0" fillId="3" borderId="1" xfId="1" applyNumberFormat="1" applyFont="1" applyFill="1" applyBorder="1" applyAlignment="1" applyProtection="1">
      <alignment vertical="center"/>
      <protection locked="0"/>
    </xf>
    <xf numFmtId="176" fontId="0" fillId="3" borderId="28" xfId="1" applyNumberFormat="1" applyFont="1" applyFill="1" applyBorder="1" applyAlignment="1" applyProtection="1">
      <alignment vertical="center"/>
      <protection locked="0"/>
    </xf>
    <xf numFmtId="176" fontId="0" fillId="3" borderId="30" xfId="1" applyNumberFormat="1" applyFont="1" applyFill="1" applyBorder="1" applyProtection="1">
      <alignment vertical="center"/>
      <protection locked="0"/>
    </xf>
    <xf numFmtId="176" fontId="0" fillId="3" borderId="30" xfId="0" applyNumberFormat="1" applyFill="1" applyBorder="1" applyProtection="1">
      <alignment vertical="center"/>
      <protection locked="0"/>
    </xf>
    <xf numFmtId="176" fontId="0" fillId="3" borderId="1" xfId="0" applyNumberFormat="1" applyFill="1" applyBorder="1" applyProtection="1">
      <alignment vertical="center"/>
      <protection locked="0"/>
    </xf>
    <xf numFmtId="176" fontId="0" fillId="3" borderId="1" xfId="1" applyNumberFormat="1" applyFont="1" applyFill="1" applyBorder="1" applyProtection="1">
      <alignment vertical="center"/>
      <protection locked="0"/>
    </xf>
    <xf numFmtId="176" fontId="0" fillId="3" borderId="28" xfId="1" applyNumberFormat="1" applyFont="1" applyFill="1" applyBorder="1" applyProtection="1">
      <alignment vertical="center"/>
      <protection locked="0"/>
    </xf>
    <xf numFmtId="176" fontId="0" fillId="3" borderId="28" xfId="0" applyNumberFormat="1" applyFill="1" applyBorder="1" applyProtection="1">
      <alignment vertical="center"/>
      <protection locked="0"/>
    </xf>
    <xf numFmtId="0" fontId="0" fillId="3" borderId="30" xfId="0" applyFill="1" applyBorder="1" applyProtection="1">
      <alignment vertical="center"/>
      <protection locked="0"/>
    </xf>
    <xf numFmtId="0" fontId="0" fillId="3" borderId="1" xfId="0" applyFill="1" applyBorder="1" applyProtection="1">
      <alignment vertical="center"/>
      <protection locked="0"/>
    </xf>
    <xf numFmtId="0" fontId="0" fillId="3" borderId="28" xfId="0" applyFill="1" applyBorder="1" applyProtection="1">
      <alignment vertical="center"/>
      <protection locked="0"/>
    </xf>
    <xf numFmtId="0" fontId="0" fillId="3" borderId="1" xfId="0" applyFill="1" applyBorder="1" applyAlignment="1">
      <alignment horizontal="center" vertical="center"/>
    </xf>
    <xf numFmtId="177" fontId="0" fillId="3" borderId="42" xfId="0" applyNumberFormat="1" applyFill="1" applyBorder="1" applyProtection="1">
      <alignment vertical="center"/>
      <protection locked="0"/>
    </xf>
    <xf numFmtId="38" fontId="0" fillId="3" borderId="0" xfId="1" applyFont="1" applyFill="1" applyProtection="1">
      <alignment vertical="center"/>
    </xf>
    <xf numFmtId="0" fontId="20" fillId="0" borderId="0" xfId="0" applyFont="1" applyAlignment="1">
      <alignment horizontal="center" vertical="center"/>
    </xf>
    <xf numFmtId="0" fontId="36" fillId="0" borderId="0" xfId="0" applyFont="1" applyProtection="1">
      <alignment vertical="center"/>
      <protection locked="0"/>
    </xf>
    <xf numFmtId="176" fontId="0" fillId="0" borderId="30" xfId="0" applyNumberFormat="1" applyBorder="1" applyProtection="1">
      <alignment vertical="center"/>
      <protection hidden="1"/>
    </xf>
    <xf numFmtId="176" fontId="0" fillId="0" borderId="59" xfId="0" applyNumberFormat="1" applyBorder="1" applyProtection="1">
      <alignment vertical="center"/>
      <protection hidden="1"/>
    </xf>
    <xf numFmtId="176" fontId="0" fillId="0" borderId="1" xfId="0" applyNumberFormat="1" applyBorder="1" applyProtection="1">
      <alignment vertical="center"/>
      <protection hidden="1"/>
    </xf>
    <xf numFmtId="176" fontId="0" fillId="0" borderId="28" xfId="0" applyNumberFormat="1" applyBorder="1" applyProtection="1">
      <alignment vertical="center"/>
      <protection hidden="1"/>
    </xf>
    <xf numFmtId="0" fontId="0" fillId="0" borderId="14" xfId="0" applyBorder="1" applyAlignment="1" applyProtection="1">
      <alignment horizontal="center" vertical="center"/>
      <protection hidden="1"/>
    </xf>
    <xf numFmtId="0" fontId="0" fillId="0" borderId="60" xfId="0" applyBorder="1" applyAlignment="1" applyProtection="1">
      <alignment horizontal="center" vertical="center"/>
      <protection hidden="1"/>
    </xf>
    <xf numFmtId="0" fontId="0" fillId="8" borderId="62" xfId="0" applyFill="1" applyBorder="1" applyProtection="1">
      <alignment vertical="center"/>
      <protection hidden="1"/>
    </xf>
    <xf numFmtId="176" fontId="0" fillId="8" borderId="56" xfId="0" applyNumberFormat="1" applyFill="1" applyBorder="1" applyProtection="1">
      <alignment vertical="center"/>
      <protection hidden="1"/>
    </xf>
    <xf numFmtId="176" fontId="0" fillId="8" borderId="96" xfId="0" applyNumberFormat="1" applyFill="1" applyBorder="1" applyProtection="1">
      <alignment vertical="center"/>
      <protection hidden="1"/>
    </xf>
    <xf numFmtId="0" fontId="0" fillId="0" borderId="25" xfId="0" applyBorder="1" applyProtection="1">
      <alignment vertical="center"/>
      <protection hidden="1"/>
    </xf>
    <xf numFmtId="176" fontId="0" fillId="0" borderId="3" xfId="0" applyNumberFormat="1" applyBorder="1" applyProtection="1">
      <alignment vertical="center"/>
      <protection hidden="1"/>
    </xf>
    <xf numFmtId="0" fontId="0" fillId="8" borderId="25" xfId="0" applyFill="1" applyBorder="1" applyProtection="1">
      <alignment vertical="center"/>
      <protection hidden="1"/>
    </xf>
    <xf numFmtId="176" fontId="0" fillId="8" borderId="1" xfId="0" applyNumberFormat="1" applyFill="1" applyBorder="1" applyProtection="1">
      <alignment vertical="center"/>
      <protection hidden="1"/>
    </xf>
    <xf numFmtId="176" fontId="0" fillId="8" borderId="30" xfId="0" applyNumberFormat="1" applyFill="1" applyBorder="1" applyProtection="1">
      <alignment vertical="center"/>
      <protection hidden="1"/>
    </xf>
    <xf numFmtId="176" fontId="0" fillId="8" borderId="43" xfId="0" applyNumberFormat="1" applyFill="1" applyBorder="1" applyProtection="1">
      <alignment vertical="center"/>
      <protection hidden="1"/>
    </xf>
    <xf numFmtId="176" fontId="0" fillId="8" borderId="3" xfId="0" applyNumberFormat="1" applyFill="1" applyBorder="1" applyProtection="1">
      <alignment vertical="center"/>
      <protection hidden="1"/>
    </xf>
    <xf numFmtId="176" fontId="0" fillId="0" borderId="37" xfId="0" applyNumberFormat="1" applyBorder="1" applyProtection="1">
      <alignment vertical="center"/>
      <protection hidden="1"/>
    </xf>
    <xf numFmtId="0" fontId="0" fillId="0" borderId="32" xfId="0" applyBorder="1" applyProtection="1">
      <alignment vertical="center"/>
      <protection hidden="1"/>
    </xf>
    <xf numFmtId="176" fontId="0" fillId="0" borderId="33" xfId="0" applyNumberFormat="1" applyBorder="1" applyProtection="1">
      <alignment vertical="center"/>
      <protection hidden="1"/>
    </xf>
    <xf numFmtId="176" fontId="0" fillId="0" borderId="43" xfId="0" applyNumberFormat="1" applyBorder="1" applyProtection="1">
      <alignment vertical="center"/>
      <protection hidden="1"/>
    </xf>
    <xf numFmtId="176" fontId="0" fillId="0" borderId="104" xfId="0" applyNumberFormat="1" applyBorder="1" applyProtection="1">
      <alignment vertical="center"/>
      <protection hidden="1"/>
    </xf>
    <xf numFmtId="176" fontId="0" fillId="0" borderId="95" xfId="0" applyNumberFormat="1" applyBorder="1" applyProtection="1">
      <alignment vertical="center"/>
      <protection hidden="1"/>
    </xf>
    <xf numFmtId="176" fontId="37" fillId="4" borderId="41" xfId="0" applyNumberFormat="1" applyFont="1" applyFill="1" applyBorder="1" applyProtection="1">
      <alignment vertical="center"/>
      <protection hidden="1"/>
    </xf>
    <xf numFmtId="176" fontId="0" fillId="0" borderId="17" xfId="0" applyNumberFormat="1" applyBorder="1" applyProtection="1">
      <alignment vertical="center"/>
      <protection hidden="1"/>
    </xf>
    <xf numFmtId="176" fontId="0" fillId="0" borderId="22" xfId="0" applyNumberFormat="1" applyBorder="1" applyProtection="1">
      <alignment vertical="center"/>
      <protection hidden="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0" xfId="0" applyProtection="1">
      <alignment vertical="center"/>
      <protection hidden="1"/>
    </xf>
    <xf numFmtId="176" fontId="0" fillId="0" borderId="3" xfId="1" applyNumberFormat="1" applyFont="1" applyBorder="1" applyAlignment="1" applyProtection="1">
      <alignment horizontal="center" vertical="center"/>
      <protection hidden="1"/>
    </xf>
    <xf numFmtId="176" fontId="0" fillId="0" borderId="1" xfId="1" applyNumberFormat="1" applyFont="1" applyBorder="1" applyAlignment="1" applyProtection="1">
      <alignment horizontal="center" vertical="center"/>
      <protection hidden="1"/>
    </xf>
    <xf numFmtId="0" fontId="0" fillId="8" borderId="27" xfId="0" applyFill="1" applyBorder="1" applyProtection="1">
      <alignment vertical="center"/>
      <protection hidden="1"/>
    </xf>
    <xf numFmtId="0" fontId="0" fillId="8" borderId="52" xfId="0" applyFill="1" applyBorder="1" applyProtection="1">
      <alignment vertical="center"/>
      <protection hidden="1"/>
    </xf>
    <xf numFmtId="177" fontId="0" fillId="5" borderId="39" xfId="0" applyNumberFormat="1" applyFill="1" applyBorder="1" applyProtection="1">
      <alignment vertical="center"/>
      <protection hidden="1"/>
    </xf>
    <xf numFmtId="0" fontId="12" fillId="0" borderId="0" xfId="0" applyFont="1" applyAlignment="1" applyProtection="1">
      <alignment vertical="center" wrapText="1"/>
      <protection locked="0"/>
    </xf>
    <xf numFmtId="0" fontId="16" fillId="0" borderId="7" xfId="0" applyFont="1" applyBorder="1" applyAlignment="1" applyProtection="1">
      <alignment vertical="center" wrapText="1"/>
      <protection locked="0"/>
    </xf>
    <xf numFmtId="0" fontId="18" fillId="0" borderId="0" xfId="0" applyFont="1" applyAlignment="1" applyProtection="1">
      <alignment vertical="center" wrapText="1"/>
      <protection locked="0"/>
    </xf>
    <xf numFmtId="49" fontId="13" fillId="8" borderId="0" xfId="0" applyNumberFormat="1" applyFont="1" applyFill="1" applyAlignment="1" applyProtection="1">
      <alignment vertical="center" wrapText="1"/>
      <protection locked="0"/>
    </xf>
    <xf numFmtId="49" fontId="13" fillId="0" borderId="0" xfId="0" applyNumberFormat="1" applyFont="1" applyAlignment="1" applyProtection="1">
      <alignment vertical="center" wrapText="1"/>
      <protection locked="0"/>
    </xf>
    <xf numFmtId="49" fontId="13" fillId="8" borderId="0" xfId="0" applyNumberFormat="1" applyFont="1" applyFill="1" applyAlignment="1" applyProtection="1">
      <alignment vertical="top" wrapText="1"/>
      <protection locked="0"/>
    </xf>
    <xf numFmtId="0" fontId="0" fillId="0" borderId="0" xfId="0" applyAlignment="1" applyProtection="1">
      <alignment vertical="center" wrapText="1"/>
      <protection locked="0"/>
    </xf>
    <xf numFmtId="0" fontId="13" fillId="8" borderId="0" xfId="0" applyFont="1" applyFill="1" applyProtection="1">
      <alignment vertical="center"/>
      <protection locked="0"/>
    </xf>
    <xf numFmtId="179" fontId="0" fillId="0" borderId="0" xfId="0" applyNumberFormat="1">
      <alignment vertical="center"/>
    </xf>
    <xf numFmtId="180" fontId="0" fillId="0" borderId="0" xfId="0" applyNumberFormat="1">
      <alignment vertical="center"/>
    </xf>
    <xf numFmtId="0" fontId="0" fillId="8" borderId="109" xfId="0" applyFill="1" applyBorder="1">
      <alignment vertical="center"/>
    </xf>
    <xf numFmtId="0" fontId="0" fillId="8" borderId="0" xfId="0" applyFill="1">
      <alignment vertical="center"/>
    </xf>
    <xf numFmtId="176" fontId="0" fillId="3" borderId="31" xfId="0" applyNumberFormat="1" applyFill="1" applyBorder="1" applyProtection="1">
      <alignment vertical="center"/>
      <protection locked="0"/>
    </xf>
    <xf numFmtId="176" fontId="0" fillId="3" borderId="26" xfId="0" applyNumberFormat="1" applyFill="1" applyBorder="1" applyProtection="1">
      <alignment vertical="center"/>
      <protection locked="0"/>
    </xf>
    <xf numFmtId="176" fontId="0" fillId="3" borderId="52" xfId="0" applyNumberFormat="1" applyFill="1" applyBorder="1" applyProtection="1">
      <alignment vertical="center"/>
      <protection locked="0"/>
    </xf>
    <xf numFmtId="0" fontId="20" fillId="12" borderId="0" xfId="0" applyFont="1" applyFill="1" applyAlignment="1">
      <alignment horizontal="center" vertical="center"/>
    </xf>
    <xf numFmtId="0" fontId="8" fillId="0" borderId="98" xfId="0" applyFont="1" applyBorder="1" applyAlignment="1">
      <alignment horizontal="center" vertical="center"/>
    </xf>
    <xf numFmtId="0" fontId="8" fillId="0" borderId="102" xfId="0" applyFont="1" applyBorder="1" applyAlignment="1">
      <alignment horizontal="center" vertical="center"/>
    </xf>
    <xf numFmtId="0" fontId="8" fillId="0" borderId="106" xfId="0" applyFont="1" applyBorder="1" applyAlignment="1">
      <alignment horizontal="center" vertical="center"/>
    </xf>
    <xf numFmtId="176" fontId="0" fillId="0" borderId="93" xfId="0" applyNumberFormat="1" applyBorder="1" applyAlignment="1" applyProtection="1">
      <alignment horizontal="center" vertical="center"/>
      <protection hidden="1"/>
    </xf>
    <xf numFmtId="176" fontId="0" fillId="0" borderId="4" xfId="0" applyNumberFormat="1" applyBorder="1" applyAlignment="1" applyProtection="1">
      <alignment horizontal="center" vertical="center"/>
      <protection hidden="1"/>
    </xf>
    <xf numFmtId="176" fontId="0" fillId="0" borderId="105" xfId="0" applyNumberFormat="1" applyBorder="1" applyAlignment="1" applyProtection="1">
      <alignment horizontal="center" vertical="center"/>
      <protection hidden="1"/>
    </xf>
    <xf numFmtId="176" fontId="0" fillId="0" borderId="81" xfId="0" applyNumberFormat="1" applyBorder="1" applyAlignment="1" applyProtection="1">
      <alignment horizontal="center" vertical="center"/>
      <protection hidden="1"/>
    </xf>
    <xf numFmtId="176" fontId="0" fillId="0" borderId="82" xfId="0" applyNumberFormat="1" applyBorder="1" applyAlignment="1" applyProtection="1">
      <alignment horizontal="center" vertical="center"/>
      <protection hidden="1"/>
    </xf>
    <xf numFmtId="176" fontId="0" fillId="0" borderId="97" xfId="0" applyNumberFormat="1" applyBorder="1" applyAlignment="1" applyProtection="1">
      <alignment horizontal="center" vertical="center"/>
      <protection hidden="1"/>
    </xf>
    <xf numFmtId="0" fontId="8" fillId="0" borderId="103" xfId="0" applyFont="1" applyBorder="1" applyAlignment="1">
      <alignment horizontal="center" vertical="center"/>
    </xf>
    <xf numFmtId="0" fontId="8" fillId="0" borderId="98" xfId="0" applyFont="1" applyBorder="1" applyAlignment="1">
      <alignment horizontal="center" vertical="center" wrapText="1"/>
    </xf>
    <xf numFmtId="0" fontId="8" fillId="0" borderId="102" xfId="0" applyFont="1" applyBorder="1" applyAlignment="1">
      <alignment horizontal="center" vertical="center" wrapText="1"/>
    </xf>
    <xf numFmtId="0" fontId="8" fillId="0" borderId="103" xfId="0" applyFont="1" applyBorder="1" applyAlignment="1">
      <alignment horizontal="center" vertical="center" wrapText="1"/>
    </xf>
    <xf numFmtId="176" fontId="0" fillId="0" borderId="107" xfId="0" applyNumberFormat="1"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87" xfId="0" applyBorder="1" applyAlignment="1" applyProtection="1">
      <alignment horizontal="center" vertical="center"/>
      <protection hidden="1"/>
    </xf>
    <xf numFmtId="0" fontId="0" fillId="0" borderId="86" xfId="0" applyBorder="1" applyAlignment="1" applyProtection="1">
      <alignment horizontal="center" vertical="center"/>
      <protection hidden="1"/>
    </xf>
    <xf numFmtId="0" fontId="37" fillId="4" borderId="39" xfId="0" applyFont="1" applyFill="1" applyBorder="1" applyAlignment="1" applyProtection="1">
      <alignment horizontal="center" vertical="center"/>
      <protection hidden="1"/>
    </xf>
    <xf numFmtId="0" fontId="37" fillId="4" borderId="40" xfId="0" applyFont="1" applyFill="1" applyBorder="1" applyAlignment="1" applyProtection="1">
      <alignment horizontal="center" vertical="center"/>
      <protection hidden="1"/>
    </xf>
    <xf numFmtId="176" fontId="0" fillId="0" borderId="56" xfId="0" applyNumberFormat="1" applyBorder="1" applyAlignment="1" applyProtection="1">
      <alignment horizontal="center" vertical="center"/>
      <protection hidden="1"/>
    </xf>
    <xf numFmtId="176" fontId="0" fillId="0" borderId="1" xfId="0" applyNumberFormat="1" applyBorder="1" applyAlignment="1" applyProtection="1">
      <alignment horizontal="center" vertical="center"/>
      <protection hidden="1"/>
    </xf>
    <xf numFmtId="176" fontId="0" fillId="0" borderId="33" xfId="0" applyNumberFormat="1" applyBorder="1" applyAlignment="1" applyProtection="1">
      <alignment horizontal="center" vertical="center"/>
      <protection hidden="1"/>
    </xf>
    <xf numFmtId="176" fontId="0" fillId="8" borderId="30" xfId="1" applyNumberFormat="1" applyFont="1" applyFill="1" applyBorder="1" applyAlignment="1" applyProtection="1">
      <alignment horizontal="right" vertical="center"/>
      <protection hidden="1"/>
    </xf>
    <xf numFmtId="0" fontId="0" fillId="0" borderId="88"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0" fillId="0" borderId="61" xfId="0" applyBorder="1" applyAlignment="1" applyProtection="1">
      <alignment horizontal="center" vertical="center" wrapText="1"/>
      <protection hidden="1"/>
    </xf>
    <xf numFmtId="176" fontId="0" fillId="0" borderId="33" xfId="1" applyNumberFormat="1" applyFont="1" applyFill="1" applyBorder="1" applyAlignment="1" applyProtection="1">
      <alignment horizontal="right" vertical="center"/>
      <protection hidden="1"/>
    </xf>
    <xf numFmtId="0" fontId="0" fillId="0" borderId="23" xfId="0" applyBorder="1" applyAlignment="1">
      <alignment horizontal="center" vertical="center"/>
    </xf>
    <xf numFmtId="0" fontId="0" fillId="0" borderId="32" xfId="0" applyBorder="1" applyAlignment="1">
      <alignment horizontal="center" vertical="center"/>
    </xf>
    <xf numFmtId="0" fontId="8" fillId="0" borderId="23" xfId="0" applyFont="1" applyBorder="1" applyAlignment="1">
      <alignment horizontal="center" vertical="center"/>
    </xf>
    <xf numFmtId="0" fontId="8" fillId="0" borderId="32" xfId="0" applyFont="1" applyBorder="1" applyAlignment="1">
      <alignment horizontal="center" vertical="center"/>
    </xf>
    <xf numFmtId="176" fontId="0" fillId="8" borderId="56" xfId="1" applyNumberFormat="1" applyFont="1" applyFill="1" applyBorder="1" applyAlignment="1" applyProtection="1">
      <alignment horizontal="right" vertical="center"/>
      <protection hidden="1"/>
    </xf>
    <xf numFmtId="176" fontId="0" fillId="0" borderId="30" xfId="1" applyNumberFormat="1" applyFont="1" applyFill="1" applyBorder="1" applyAlignment="1" applyProtection="1">
      <alignment horizontal="right" vertical="center"/>
      <protection hidden="1"/>
    </xf>
    <xf numFmtId="0" fontId="8" fillId="0" borderId="24" xfId="0" applyFont="1" applyBorder="1" applyAlignment="1">
      <alignment horizontal="center" vertical="center" wrapText="1"/>
    </xf>
    <xf numFmtId="0" fontId="8" fillId="0" borderId="33" xfId="0" applyFont="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0" fillId="0" borderId="23" xfId="0" applyBorder="1" applyAlignment="1" applyProtection="1">
      <alignment horizontal="center" vertical="center"/>
      <protection hidden="1"/>
    </xf>
    <xf numFmtId="0" fontId="0" fillId="0" borderId="57" xfId="0" applyBorder="1" applyAlignment="1" applyProtection="1">
      <alignment horizontal="center" vertical="center"/>
      <protection hidden="1"/>
    </xf>
    <xf numFmtId="176" fontId="0" fillId="0" borderId="27" xfId="0" applyNumberFormat="1" applyBorder="1" applyAlignment="1" applyProtection="1">
      <alignment horizontal="center" vertical="center"/>
      <protection hidden="1"/>
    </xf>
    <xf numFmtId="176" fontId="0" fillId="0" borderId="52" xfId="0" applyNumberFormat="1" applyBorder="1" applyAlignment="1" applyProtection="1">
      <alignment horizontal="center" vertical="center"/>
      <protection hidden="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0" fillId="0" borderId="98" xfId="0" applyBorder="1" applyAlignment="1">
      <alignment horizontal="center" vertical="center" wrapText="1"/>
    </xf>
    <xf numFmtId="0" fontId="0" fillId="0" borderId="99"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17" fillId="12" borderId="0" xfId="0" applyFont="1" applyFill="1" applyAlignment="1" applyProtection="1">
      <alignment horizontal="center" vertical="center"/>
      <protection locked="0"/>
    </xf>
    <xf numFmtId="0" fontId="13" fillId="8" borderId="0" xfId="0" applyFont="1" applyFill="1" applyAlignment="1" applyProtection="1">
      <alignment vertical="top"/>
      <protection locked="0"/>
    </xf>
    <xf numFmtId="0" fontId="16" fillId="0" borderId="7" xfId="0" applyFont="1" applyBorder="1" applyAlignment="1" applyProtection="1">
      <alignment horizontal="center" vertical="center" wrapText="1"/>
      <protection locked="0"/>
    </xf>
    <xf numFmtId="0" fontId="13" fillId="8" borderId="42" xfId="0" applyFont="1" applyFill="1" applyBorder="1" applyAlignment="1" applyProtection="1">
      <alignment horizontal="left" vertical="center" wrapText="1"/>
      <protection locked="0"/>
    </xf>
    <xf numFmtId="0" fontId="13" fillId="8" borderId="108" xfId="0" applyFont="1" applyFill="1" applyBorder="1" applyAlignment="1" applyProtection="1">
      <alignment horizontal="left" vertical="center" wrapText="1"/>
      <protection locked="0"/>
    </xf>
    <xf numFmtId="0" fontId="13" fillId="8" borderId="36" xfId="0" applyFont="1" applyFill="1" applyBorder="1" applyAlignment="1" applyProtection="1">
      <alignment horizontal="left" vertical="center" wrapText="1"/>
      <protection locked="0"/>
    </xf>
    <xf numFmtId="0" fontId="13" fillId="8" borderId="2" xfId="0" applyFont="1" applyFill="1" applyBorder="1" applyAlignment="1" applyProtection="1">
      <alignment horizontal="left" vertical="center" wrapText="1"/>
      <protection locked="0"/>
    </xf>
    <xf numFmtId="0" fontId="13" fillId="8" borderId="7" xfId="0" applyFont="1" applyFill="1" applyBorder="1" applyAlignment="1" applyProtection="1">
      <alignment horizontal="left" vertical="center" wrapText="1"/>
      <protection locked="0"/>
    </xf>
    <xf numFmtId="0" fontId="13" fillId="8" borderId="3" xfId="0" applyFont="1" applyFill="1" applyBorder="1" applyAlignment="1" applyProtection="1">
      <alignment horizontal="left" vertical="center" wrapText="1"/>
      <protection locked="0"/>
    </xf>
    <xf numFmtId="0" fontId="10" fillId="12" borderId="0" xfId="0" applyFont="1" applyFill="1" applyAlignment="1" applyProtection="1">
      <alignment horizontal="center" vertical="center"/>
      <protection locked="0"/>
    </xf>
    <xf numFmtId="0" fontId="13" fillId="0" borderId="0" xfId="0" applyFont="1" applyAlignment="1" applyProtection="1">
      <alignment vertical="center" wrapText="1"/>
      <protection locked="0"/>
    </xf>
    <xf numFmtId="0" fontId="13" fillId="8" borderId="42" xfId="0" applyFont="1" applyFill="1" applyBorder="1" applyAlignment="1" applyProtection="1">
      <alignment horizontal="center" vertical="center" wrapText="1"/>
      <protection locked="0"/>
    </xf>
    <xf numFmtId="0" fontId="13" fillId="8" borderId="108" xfId="0" applyFont="1" applyFill="1" applyBorder="1" applyAlignment="1" applyProtection="1">
      <alignment horizontal="center" vertical="center" wrapText="1"/>
      <protection locked="0"/>
    </xf>
    <xf numFmtId="0" fontId="13" fillId="8" borderId="36" xfId="0" applyFont="1" applyFill="1" applyBorder="1" applyAlignment="1" applyProtection="1">
      <alignment horizontal="center" vertical="center" wrapText="1"/>
      <protection locked="0"/>
    </xf>
    <xf numFmtId="0" fontId="13" fillId="8" borderId="14" xfId="0" applyFont="1" applyFill="1" applyBorder="1" applyAlignment="1" applyProtection="1">
      <alignment horizontal="center" vertical="center" wrapText="1"/>
      <protection locked="0"/>
    </xf>
    <xf numFmtId="0" fontId="13" fillId="8" borderId="15" xfId="0" applyFont="1" applyFill="1" applyBorder="1" applyAlignment="1" applyProtection="1">
      <alignment horizontal="center" vertical="center" wrapText="1"/>
      <protection locked="0"/>
    </xf>
    <xf numFmtId="0" fontId="13" fillId="8" borderId="53" xfId="0" applyFont="1" applyFill="1" applyBorder="1" applyAlignment="1" applyProtection="1">
      <alignment horizontal="center" vertical="center" wrapText="1"/>
      <protection locked="0"/>
    </xf>
    <xf numFmtId="0" fontId="0" fillId="0" borderId="42"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4" fillId="0" borderId="0" xfId="0" applyFont="1" applyAlignment="1">
      <alignment horizontal="center" vertical="center" wrapText="1"/>
    </xf>
    <xf numFmtId="177" fontId="0" fillId="3" borderId="2" xfId="0" applyNumberFormat="1" applyFill="1" applyBorder="1" applyAlignment="1" applyProtection="1">
      <alignment horizontal="center" vertical="center"/>
      <protection locked="0"/>
    </xf>
    <xf numFmtId="177" fontId="0" fillId="3" borderId="3" xfId="0" applyNumberFormat="1" applyFill="1" applyBorder="1" applyAlignment="1" applyProtection="1">
      <alignment horizontal="center" vertical="center"/>
      <protection locked="0"/>
    </xf>
    <xf numFmtId="0" fontId="0" fillId="0" borderId="1" xfId="0" applyBorder="1" applyAlignment="1">
      <alignment horizontal="left" vertical="center" wrapText="1"/>
    </xf>
    <xf numFmtId="177" fontId="0" fillId="3" borderId="1" xfId="0" applyNumberFormat="1" applyFill="1" applyBorder="1" applyAlignment="1" applyProtection="1">
      <alignment horizontal="center" vertical="center"/>
      <protection locked="0"/>
    </xf>
    <xf numFmtId="0" fontId="28" fillId="0" borderId="0" xfId="0" applyFont="1" applyAlignment="1">
      <alignment horizontal="left" vertical="top" wrapText="1"/>
    </xf>
    <xf numFmtId="0" fontId="0" fillId="0" borderId="37" xfId="0" applyBorder="1" applyAlignment="1">
      <alignment horizontal="center" vertical="center"/>
    </xf>
    <xf numFmtId="0" fontId="0" fillId="0" borderId="43"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DEFEF0"/>
      <color rgb="FFFFFFCC"/>
      <color rgb="FF4BDDFF"/>
      <color rgb="FFD90D86"/>
      <color rgb="FFDEF5A5"/>
      <color rgb="FFF0FDDF"/>
      <color rgb="FFE2FCC0"/>
      <color rgb="FFC7F8A2"/>
      <color rgb="FFFFFF66"/>
      <color rgb="FFBCF0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BDDFF"/>
  </sheetPr>
  <dimension ref="A1:L38"/>
  <sheetViews>
    <sheetView topLeftCell="A15" workbookViewId="0">
      <selection activeCell="D8" sqref="D8"/>
    </sheetView>
  </sheetViews>
  <sheetFormatPr defaultColWidth="9" defaultRowHeight="18.75"/>
  <cols>
    <col min="1" max="1" width="3.75" style="216" customWidth="1"/>
    <col min="2" max="2" width="6.375" style="216" customWidth="1"/>
    <col min="3" max="3" width="19.875" style="216" customWidth="1"/>
    <col min="4" max="4" width="18" style="81" bestFit="1" customWidth="1"/>
    <col min="5" max="5" width="82.625" style="81" customWidth="1"/>
    <col min="6" max="16384" width="9" style="81"/>
  </cols>
  <sheetData>
    <row r="1" spans="1:5" ht="21">
      <c r="A1" s="288" t="s">
        <v>113</v>
      </c>
      <c r="B1" s="288"/>
      <c r="C1" s="288"/>
      <c r="D1" s="288"/>
      <c r="E1" s="288"/>
    </row>
    <row r="2" spans="1:5">
      <c r="A2" s="210"/>
      <c r="B2" s="210"/>
      <c r="C2" s="210"/>
      <c r="D2" s="116"/>
      <c r="E2" s="116"/>
    </row>
    <row r="3" spans="1:5">
      <c r="A3" s="289" t="s">
        <v>161</v>
      </c>
      <c r="B3" s="289"/>
      <c r="C3" s="289"/>
      <c r="D3" s="289"/>
      <c r="E3" s="289"/>
    </row>
    <row r="4" spans="1:5">
      <c r="A4" s="210"/>
      <c r="B4" s="210"/>
      <c r="C4" s="210"/>
      <c r="D4" s="116"/>
      <c r="E4" s="116"/>
    </row>
    <row r="5" spans="1:5" ht="93" customHeight="1">
      <c r="A5" s="290" t="s">
        <v>171</v>
      </c>
      <c r="B5" s="291"/>
      <c r="C5" s="292"/>
      <c r="D5" s="117" t="s">
        <v>101</v>
      </c>
      <c r="E5" s="118" t="s">
        <v>194</v>
      </c>
    </row>
    <row r="6" spans="1:5" ht="96.75" customHeight="1">
      <c r="A6" s="293"/>
      <c r="B6" s="294"/>
      <c r="C6" s="295"/>
      <c r="D6" s="117" t="s">
        <v>102</v>
      </c>
      <c r="E6" s="118" t="s">
        <v>195</v>
      </c>
    </row>
    <row r="7" spans="1:5" ht="24">
      <c r="A7" s="281"/>
      <c r="B7" s="281"/>
      <c r="C7" s="211"/>
      <c r="D7" s="119"/>
      <c r="E7" s="119"/>
    </row>
    <row r="8" spans="1:5" ht="152.25" customHeight="1">
      <c r="A8" s="282" t="s">
        <v>172</v>
      </c>
      <c r="B8" s="283"/>
      <c r="C8" s="284"/>
      <c r="D8" s="118" t="s">
        <v>188</v>
      </c>
      <c r="E8" s="118" t="s">
        <v>192</v>
      </c>
    </row>
    <row r="9" spans="1:5" ht="24">
      <c r="A9" s="281"/>
      <c r="B9" s="281"/>
      <c r="C9" s="211"/>
      <c r="D9" s="119"/>
      <c r="E9" s="119"/>
    </row>
    <row r="10" spans="1:5" ht="73.5" customHeight="1">
      <c r="A10" s="285" t="s">
        <v>173</v>
      </c>
      <c r="B10" s="286"/>
      <c r="C10" s="287"/>
      <c r="D10" s="118" t="s">
        <v>190</v>
      </c>
      <c r="E10" s="118" t="s">
        <v>189</v>
      </c>
    </row>
    <row r="11" spans="1:5">
      <c r="A11" s="159"/>
      <c r="B11" s="159"/>
      <c r="C11" s="159"/>
      <c r="D11" s="120"/>
      <c r="E11" s="120"/>
    </row>
    <row r="12" spans="1:5" ht="73.5" customHeight="1">
      <c r="A12" s="285" t="s">
        <v>191</v>
      </c>
      <c r="B12" s="286"/>
      <c r="C12" s="287"/>
      <c r="D12" s="118" t="s">
        <v>190</v>
      </c>
      <c r="E12" s="118" t="s">
        <v>193</v>
      </c>
    </row>
    <row r="13" spans="1:5">
      <c r="A13" s="210"/>
      <c r="B13" s="210"/>
      <c r="C13" s="210"/>
      <c r="D13" s="116"/>
      <c r="E13" s="116"/>
    </row>
    <row r="14" spans="1:5" ht="21">
      <c r="A14" s="279" t="s">
        <v>103</v>
      </c>
      <c r="B14" s="279"/>
      <c r="C14" s="279"/>
      <c r="D14" s="279"/>
      <c r="E14" s="279"/>
    </row>
    <row r="15" spans="1:5">
      <c r="A15" s="212"/>
      <c r="B15" s="212"/>
      <c r="C15" s="212"/>
      <c r="D15" s="121"/>
      <c r="E15" s="121"/>
    </row>
    <row r="16" spans="1:5">
      <c r="A16" s="213" t="s">
        <v>104</v>
      </c>
      <c r="B16" s="217" t="s">
        <v>111</v>
      </c>
      <c r="C16" s="217"/>
      <c r="D16" s="217"/>
      <c r="E16" s="217"/>
    </row>
    <row r="17" spans="1:12">
      <c r="A17" s="214"/>
      <c r="B17" s="120"/>
      <c r="C17" s="120"/>
      <c r="D17" s="120"/>
      <c r="E17" s="120"/>
    </row>
    <row r="18" spans="1:12">
      <c r="A18" s="213" t="s">
        <v>105</v>
      </c>
      <c r="B18" s="217" t="s">
        <v>106</v>
      </c>
      <c r="C18" s="217"/>
      <c r="D18" s="217"/>
      <c r="E18" s="217"/>
    </row>
    <row r="19" spans="1:12" customFormat="1">
      <c r="A19" s="220"/>
      <c r="B19" s="221" t="s">
        <v>174</v>
      </c>
      <c r="C19" s="221"/>
      <c r="D19" s="221"/>
      <c r="E19" s="221"/>
      <c r="K19" s="218"/>
      <c r="L19" s="218"/>
    </row>
    <row r="20" spans="1:12" customFormat="1">
      <c r="A20" s="220"/>
      <c r="B20" s="221" t="s">
        <v>175</v>
      </c>
      <c r="C20" s="221"/>
      <c r="D20" s="221"/>
      <c r="E20" s="221"/>
    </row>
    <row r="21" spans="1:12" customFormat="1">
      <c r="A21" s="220"/>
      <c r="B21" s="221" t="s">
        <v>176</v>
      </c>
      <c r="C21" s="221"/>
      <c r="D21" s="221"/>
      <c r="E21" s="221"/>
    </row>
    <row r="22" spans="1:12" customFormat="1">
      <c r="A22" s="220"/>
      <c r="B22" s="221" t="s">
        <v>177</v>
      </c>
      <c r="C22" s="221"/>
      <c r="D22" s="221"/>
      <c r="E22" s="221"/>
    </row>
    <row r="23" spans="1:12" customFormat="1">
      <c r="A23" s="220"/>
      <c r="B23" s="221" t="s">
        <v>178</v>
      </c>
      <c r="C23" s="221"/>
      <c r="D23" s="221"/>
      <c r="E23" s="221"/>
    </row>
    <row r="24" spans="1:12" customFormat="1">
      <c r="A24" s="220"/>
      <c r="B24" s="221" t="s">
        <v>179</v>
      </c>
      <c r="C24" s="221"/>
      <c r="D24" s="221"/>
      <c r="E24" s="221"/>
      <c r="J24" s="218"/>
      <c r="L24" s="219"/>
    </row>
    <row r="25" spans="1:12" customFormat="1">
      <c r="A25" s="220"/>
      <c r="B25" s="221" t="s">
        <v>180</v>
      </c>
      <c r="C25" s="221"/>
      <c r="D25" s="221"/>
      <c r="E25" s="221"/>
      <c r="L25" s="219"/>
    </row>
    <row r="26" spans="1:12" customFormat="1">
      <c r="A26" s="220"/>
      <c r="B26" s="221" t="s">
        <v>181</v>
      </c>
      <c r="C26" s="221"/>
      <c r="D26" s="221"/>
      <c r="E26" s="221"/>
      <c r="J26" s="218"/>
      <c r="L26" s="219"/>
    </row>
    <row r="27" spans="1:12" customFormat="1">
      <c r="A27" s="220"/>
      <c r="B27" s="221" t="s">
        <v>182</v>
      </c>
      <c r="C27" s="221"/>
      <c r="D27" s="221"/>
      <c r="E27" s="221"/>
    </row>
    <row r="28" spans="1:12" customFormat="1">
      <c r="A28" s="220"/>
      <c r="B28" s="221" t="s">
        <v>183</v>
      </c>
      <c r="C28" s="221"/>
      <c r="D28" s="221"/>
      <c r="E28" s="221"/>
    </row>
    <row r="29" spans="1:12" customFormat="1">
      <c r="A29" s="220"/>
      <c r="B29" s="221" t="s">
        <v>184</v>
      </c>
      <c r="C29" s="221"/>
      <c r="D29" s="221"/>
      <c r="E29" s="221"/>
    </row>
    <row r="30" spans="1:12" customFormat="1">
      <c r="A30" s="220"/>
      <c r="B30" s="221" t="s">
        <v>185</v>
      </c>
      <c r="C30" s="221"/>
      <c r="D30" s="221"/>
      <c r="E30" s="221"/>
    </row>
    <row r="31" spans="1:12" customFormat="1">
      <c r="A31" s="220"/>
      <c r="B31" s="221" t="s">
        <v>186</v>
      </c>
      <c r="C31" s="221"/>
      <c r="D31" s="221"/>
      <c r="E31" s="221"/>
    </row>
    <row r="32" spans="1:12" customFormat="1">
      <c r="A32" s="220"/>
      <c r="B32" s="221" t="s">
        <v>187</v>
      </c>
      <c r="C32" s="221"/>
      <c r="D32" s="221"/>
      <c r="E32" s="221"/>
    </row>
    <row r="33" spans="1:5">
      <c r="A33" s="214"/>
      <c r="B33" s="120"/>
      <c r="C33" s="120"/>
      <c r="D33" s="120"/>
      <c r="E33" s="120"/>
    </row>
    <row r="34" spans="1:5">
      <c r="A34" s="215" t="s">
        <v>107</v>
      </c>
      <c r="B34" s="280" t="s">
        <v>114</v>
      </c>
      <c r="C34" s="280"/>
      <c r="D34" s="280"/>
      <c r="E34" s="280"/>
    </row>
    <row r="35" spans="1:5">
      <c r="A35" s="213"/>
      <c r="B35" s="217" t="s">
        <v>108</v>
      </c>
      <c r="C35" s="217"/>
      <c r="D35" s="217"/>
      <c r="E35" s="217"/>
    </row>
    <row r="36" spans="1:5">
      <c r="A36" s="213"/>
      <c r="B36" s="217" t="s">
        <v>109</v>
      </c>
      <c r="C36" s="217"/>
      <c r="D36" s="217"/>
      <c r="E36" s="217"/>
    </row>
    <row r="37" spans="1:5">
      <c r="A37" s="213"/>
      <c r="B37" s="217" t="s">
        <v>110</v>
      </c>
      <c r="C37" s="217"/>
      <c r="D37" s="217"/>
      <c r="E37" s="217"/>
    </row>
    <row r="38" spans="1:5">
      <c r="B38" s="81"/>
      <c r="C38" s="81"/>
    </row>
  </sheetData>
  <mergeCells count="10">
    <mergeCell ref="A1:E1"/>
    <mergeCell ref="A3:E3"/>
    <mergeCell ref="A7:B7"/>
    <mergeCell ref="A5:C6"/>
    <mergeCell ref="A14:E14"/>
    <mergeCell ref="B34:E34"/>
    <mergeCell ref="A9:B9"/>
    <mergeCell ref="A8:C8"/>
    <mergeCell ref="A10:C10"/>
    <mergeCell ref="A12:C1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P44"/>
  <sheetViews>
    <sheetView tabSelected="1" topLeftCell="J1" zoomScale="85" zoomScaleNormal="85" zoomScaleSheetLayoutView="85" workbookViewId="0">
      <selection activeCell="N12" sqref="N12"/>
    </sheetView>
  </sheetViews>
  <sheetFormatPr defaultColWidth="9" defaultRowHeight="18.75"/>
  <cols>
    <col min="2" max="3" width="12" customWidth="1"/>
    <col min="4" max="16" width="14.75" customWidth="1"/>
    <col min="17" max="18" width="14.75" style="2" customWidth="1"/>
    <col min="19" max="19" width="19.375" style="2" hidden="1" customWidth="1"/>
    <col min="20" max="20" width="23" hidden="1" customWidth="1"/>
    <col min="21" max="21" width="10.5" hidden="1" customWidth="1"/>
    <col min="22" max="22" width="11.625" hidden="1" customWidth="1"/>
    <col min="23" max="23" width="10" hidden="1" customWidth="1"/>
    <col min="24" max="24" width="11.25" hidden="1" customWidth="1"/>
    <col min="25" max="25" width="15.25" hidden="1" customWidth="1"/>
    <col min="26" max="26" width="11.75" hidden="1" customWidth="1"/>
    <col min="27" max="27" width="10.375" hidden="1" customWidth="1"/>
    <col min="28" max="28" width="3.5" hidden="1" customWidth="1"/>
    <col min="29" max="29" width="10" hidden="1" customWidth="1"/>
    <col min="30" max="30" width="11" hidden="1" customWidth="1"/>
    <col min="31" max="31" width="19.375" hidden="1" customWidth="1"/>
    <col min="32" max="32" width="19.375" style="3" hidden="1" customWidth="1"/>
    <col min="33" max="34" width="9.25" hidden="1" customWidth="1"/>
    <col min="35" max="35" width="12.375" hidden="1" customWidth="1"/>
    <col min="36" max="37" width="11" hidden="1" customWidth="1"/>
    <col min="38" max="38" width="9.75" hidden="1" customWidth="1"/>
    <col min="39" max="42" width="9" hidden="1" customWidth="1"/>
    <col min="43" max="43" width="0" hidden="1" customWidth="1"/>
  </cols>
  <sheetData>
    <row r="1" spans="1:42" ht="24">
      <c r="A1" s="1" t="s">
        <v>169</v>
      </c>
      <c r="Q1"/>
      <c r="R1"/>
      <c r="S1"/>
      <c r="U1" s="2"/>
      <c r="V1" s="2"/>
      <c r="W1" s="2"/>
      <c r="AF1"/>
      <c r="AJ1" s="3"/>
    </row>
    <row r="2" spans="1:42" ht="27" customHeight="1">
      <c r="A2" s="225" t="s">
        <v>166</v>
      </c>
      <c r="B2" s="225"/>
      <c r="C2" s="225"/>
      <c r="D2" s="225"/>
      <c r="E2" s="225"/>
      <c r="F2" s="225"/>
      <c r="G2" s="225"/>
      <c r="H2" s="225"/>
      <c r="I2" s="225"/>
      <c r="J2" s="225"/>
      <c r="K2" s="225"/>
      <c r="Q2"/>
      <c r="R2"/>
      <c r="S2"/>
      <c r="U2" s="2"/>
      <c r="V2" s="2"/>
      <c r="W2" s="2"/>
      <c r="AF2"/>
      <c r="AJ2" s="3"/>
    </row>
    <row r="3" spans="1:42" ht="17.25" customHeight="1" thickBot="1">
      <c r="A3" s="4"/>
      <c r="Q3"/>
      <c r="R3"/>
      <c r="S3"/>
      <c r="U3" s="5"/>
      <c r="V3" s="5"/>
      <c r="W3" s="5"/>
      <c r="AF3"/>
      <c r="AJ3" s="3"/>
    </row>
    <row r="4" spans="1:42" ht="19.5" thickBot="1">
      <c r="A4" s="254" t="s">
        <v>0</v>
      </c>
      <c r="B4" s="273" t="s">
        <v>2</v>
      </c>
      <c r="C4" s="273"/>
      <c r="D4" s="273" t="s">
        <v>3</v>
      </c>
      <c r="E4" s="273"/>
      <c r="F4" s="273"/>
      <c r="G4" s="273"/>
      <c r="H4" s="273"/>
      <c r="I4" s="273" t="s">
        <v>5</v>
      </c>
      <c r="J4" s="271" t="s">
        <v>123</v>
      </c>
      <c r="K4" s="277" t="s">
        <v>163</v>
      </c>
      <c r="M4" s="275"/>
      <c r="Q4"/>
      <c r="R4"/>
      <c r="S4"/>
      <c r="U4" s="5"/>
      <c r="V4" s="5"/>
      <c r="W4" s="5"/>
      <c r="AF4"/>
      <c r="AJ4" s="3"/>
    </row>
    <row r="5" spans="1:42" ht="72" customHeight="1" thickBot="1">
      <c r="A5" s="255"/>
      <c r="B5" s="274"/>
      <c r="C5" s="274"/>
      <c r="D5" s="6" t="s">
        <v>4</v>
      </c>
      <c r="E5" s="135" t="s">
        <v>99</v>
      </c>
      <c r="F5" s="135" t="s">
        <v>115</v>
      </c>
      <c r="G5" s="135" t="s">
        <v>100</v>
      </c>
      <c r="H5" s="7" t="s">
        <v>168</v>
      </c>
      <c r="I5" s="274"/>
      <c r="J5" s="272"/>
      <c r="K5" s="278"/>
      <c r="M5" s="276"/>
      <c r="Q5"/>
      <c r="R5"/>
      <c r="S5"/>
      <c r="T5" s="8" t="s">
        <v>1</v>
      </c>
      <c r="U5" s="9" t="s">
        <v>33</v>
      </c>
      <c r="V5" s="10" t="s">
        <v>34</v>
      </c>
      <c r="W5" s="11" t="s">
        <v>35</v>
      </c>
      <c r="X5" s="269" t="s">
        <v>20</v>
      </c>
      <c r="Y5" s="269"/>
      <c r="Z5" s="269"/>
      <c r="AA5" s="269"/>
      <c r="AB5" s="270"/>
      <c r="AC5" s="12" t="s">
        <v>28</v>
      </c>
      <c r="AD5" s="13"/>
      <c r="AE5" s="13"/>
      <c r="AF5" s="13"/>
      <c r="AG5" s="13"/>
      <c r="AH5" s="11" t="s">
        <v>145</v>
      </c>
      <c r="AI5" s="130" t="s">
        <v>144</v>
      </c>
      <c r="AJ5" s="14" t="s">
        <v>139</v>
      </c>
      <c r="AK5" s="15" t="s">
        <v>5</v>
      </c>
      <c r="AL5" s="8" t="s">
        <v>36</v>
      </c>
      <c r="AM5" s="144" t="s">
        <v>132</v>
      </c>
      <c r="AN5" s="16" t="s">
        <v>140</v>
      </c>
      <c r="AO5" s="16" t="s">
        <v>141</v>
      </c>
      <c r="AP5" s="149" t="s">
        <v>155</v>
      </c>
    </row>
    <row r="6" spans="1:42" ht="19.5" thickTop="1">
      <c r="A6" s="17" t="s">
        <v>6</v>
      </c>
      <c r="B6" s="263"/>
      <c r="C6" s="263"/>
      <c r="D6" s="160"/>
      <c r="E6" s="177">
        <f>IF(I6=$AK$8,IF(AND(V6&gt;=1,F6&gt;=1,SUM(V6,F6)&gt;100000),W6,V6-0)*0.3,IF(AND(V6&gt;=1,F6&gt;=1,SUM(V6,F6)&gt;100000),W6,V6-0))</f>
        <v>0</v>
      </c>
      <c r="F6" s="163"/>
      <c r="G6" s="164"/>
      <c r="H6" s="177">
        <f>IF(SUM(E6,F6,G6)&gt;0,SUM(E6,F6,G6),0)</f>
        <v>0</v>
      </c>
      <c r="I6" s="169"/>
      <c r="J6" s="181" t="str">
        <f>IF(V6=W6,"ー","〇")</f>
        <v>ー</v>
      </c>
      <c r="K6" s="222"/>
      <c r="M6" s="56"/>
      <c r="Q6"/>
      <c r="R6"/>
      <c r="S6"/>
      <c r="T6" s="18"/>
      <c r="U6" s="19">
        <f t="shared" ref="U6:U13" si="0">SUM(IF(V6&gt;$U$14,$U$14,V6),IF(F6&gt;$U$14,$U$14,F6)-$U$14)</f>
        <v>-100000</v>
      </c>
      <c r="V6" s="20">
        <f t="shared" ref="V6:V12" si="1">IF(D6&lt;=$AA$6,MAX(D6-$AC$6,0),IF(D6&lt;=$AA$7,ROUNDDOWN(D6/4,-3)*4*(1-$AC$7)+$AG$7,IF(D6&lt;=$AA$8,ROUNDDOWN(D6/4,-3)*4*(1-$AE$8)-$AG$8,IF(D6&lt;=$AA$9,ROUNDDOWN(D6/4,-3)*4*(1-$AE$9)-$AG$9,IF(D6&lt;=$AA$10,ROUNDDOWN(D6*(1-$AE$10)-$AG$10,0),IF(D6&gt;$AA$10,D6-$AC$11))))))</f>
        <v>0</v>
      </c>
      <c r="W6" s="21">
        <f t="shared" ref="W6:W13" si="2">IF(AND(V6&gt;=1,F6&gt;=1,SUM(V6,F6)&gt;100000),V6-U6,V6-0)</f>
        <v>0</v>
      </c>
      <c r="Z6" s="22" t="s">
        <v>21</v>
      </c>
      <c r="AA6" s="23">
        <v>1625000</v>
      </c>
      <c r="AB6" s="24" t="s">
        <v>22</v>
      </c>
      <c r="AC6" s="25">
        <v>650000</v>
      </c>
      <c r="AD6" s="26" t="s">
        <v>14</v>
      </c>
      <c r="AE6" s="26"/>
      <c r="AF6" s="26"/>
      <c r="AG6" s="26"/>
      <c r="AH6" s="19">
        <f t="shared" ref="AH6:AH13" si="3">SUM(IF(V6&gt;$AH$14,$AH$14,V6),IF(AJ6&gt;$AH$14,$AH$14,AJ6)-$AH$14)</f>
        <v>-100000</v>
      </c>
      <c r="AI6" s="27">
        <f>IF(I6=$AK$8,IF(AND(V6&gt;=1,AJ6&gt;=1,SUM(V6,AJ6)&gt;100000),V6-AH6,V6-0)*0.3,IF(AND(V6&gt;=1,AJ6&gt;=1,SUM(V6,AJ6)&gt;100000),V6-AH6,V6-0))</f>
        <v>0</v>
      </c>
      <c r="AJ6" s="27">
        <f t="shared" ref="AJ6:AJ13" si="4">MAX(IF(OR(B6=$T$10,B6=$T$12),F6-$AJ$14,F6),)</f>
        <v>0</v>
      </c>
      <c r="AL6" s="28" t="str">
        <f t="shared" ref="AL6:AL13" si="5">IF(OR(B6=$T$7,B6=$T$8,B6=$T$9,B6=$T$10,B6=$T$11),1,"0")</f>
        <v>0</v>
      </c>
      <c r="AM6" s="28" t="str">
        <f t="shared" ref="AM6:AM13" si="6">IF(OR(D6&gt;550000,AJ6&gt;=1),1,"－")</f>
        <v>－</v>
      </c>
      <c r="AN6" s="21">
        <f t="shared" ref="AN6:AN13" si="7">ROUNDDOWN(IF(B6=$T$7,IF($C$21=$D$18,AL6*$U$26*0.3,IF($C$21=$E$18,AL6*$U$26*0.5,IF($C$21=$F$18,AL6*$U$26*0.8,IF($C$21=$B$20,AL6*$U$26))))/2,0),0)</f>
        <v>0</v>
      </c>
      <c r="AO6" s="21">
        <f t="shared" ref="AO6:AO13" si="8">ROUNDDOWN(IF(B6=$T$7,IF($C$21=$D$18,AL6*$U$27*0.3,IF($C$21=$E$18,AL6*$U$27*0.5,IF($C$21=$F$18,AL6*$U$27*0.8,IF($C$21=$B$20,AL6*$U$27))))/2,0),0)</f>
        <v>0</v>
      </c>
      <c r="AP6" s="21">
        <f t="shared" ref="AP6:AP13" si="9">IF(OR(B6=$T$7,B6=$T$8),1,0)</f>
        <v>0</v>
      </c>
    </row>
    <row r="7" spans="1:42">
      <c r="A7" s="29" t="s">
        <v>7</v>
      </c>
      <c r="B7" s="262"/>
      <c r="C7" s="262"/>
      <c r="D7" s="160"/>
      <c r="E7" s="177">
        <f t="shared" ref="E7:E13" si="10">IF(I7=$AK$8,IF(AND(V7&gt;=1,F7&gt;=1,SUM(V7,F7)&gt;100000),W7,V7-0)*0.3,IF(AND(V7&gt;=1,F7&gt;=1,SUM(V7,F7)&gt;100000),W7,V7-0))</f>
        <v>0</v>
      </c>
      <c r="F7" s="163"/>
      <c r="G7" s="165"/>
      <c r="H7" s="179">
        <f t="shared" ref="H7:H13" si="11">IF(SUM(E7,F7,G7)&gt;0,SUM(E7,F7,G7),0)</f>
        <v>0</v>
      </c>
      <c r="I7" s="170"/>
      <c r="J7" s="181" t="str">
        <f t="shared" ref="J7:J13" si="12">IF(V7=W7,"ー","〇")</f>
        <v>ー</v>
      </c>
      <c r="K7" s="223"/>
      <c r="M7" s="56"/>
      <c r="Q7"/>
      <c r="R7"/>
      <c r="S7"/>
      <c r="T7" s="18" t="s">
        <v>138</v>
      </c>
      <c r="U7" s="19">
        <f t="shared" si="0"/>
        <v>-100000</v>
      </c>
      <c r="V7" s="30">
        <f t="shared" si="1"/>
        <v>0</v>
      </c>
      <c r="W7" s="31">
        <f t="shared" si="2"/>
        <v>0</v>
      </c>
      <c r="X7" s="32">
        <f>AA6</f>
        <v>1625000</v>
      </c>
      <c r="Y7" s="32" t="s">
        <v>23</v>
      </c>
      <c r="Z7" s="33" t="s">
        <v>21</v>
      </c>
      <c r="AA7" s="34">
        <v>1800000</v>
      </c>
      <c r="AB7" s="35" t="s">
        <v>22</v>
      </c>
      <c r="AC7" s="25">
        <v>650000</v>
      </c>
      <c r="AD7" s="26" t="s">
        <v>14</v>
      </c>
      <c r="AE7" s="26"/>
      <c r="AF7" s="26"/>
      <c r="AG7" s="26"/>
      <c r="AH7" s="19">
        <f t="shared" si="3"/>
        <v>-100000</v>
      </c>
      <c r="AI7" s="27">
        <f t="shared" ref="AI7:AI13" si="13">IF(I7=$AK$8,IF(AND(V7&gt;=1,AJ7&gt;=1,SUM(V7,AJ7)&gt;100000),V7-AH7,V7-0)*0.3,IF(AND(V7&gt;=1,AJ7&gt;=1,SUM(V7,AJ7)&gt;100000),V7-AH7,V7-0))</f>
        <v>0</v>
      </c>
      <c r="AJ7" s="27">
        <f t="shared" si="4"/>
        <v>0</v>
      </c>
      <c r="AK7" s="36" t="s">
        <v>29</v>
      </c>
      <c r="AL7" s="28" t="str">
        <f t="shared" si="5"/>
        <v>0</v>
      </c>
      <c r="AM7" s="28" t="str">
        <f t="shared" si="6"/>
        <v>－</v>
      </c>
      <c r="AN7" s="21">
        <f t="shared" si="7"/>
        <v>0</v>
      </c>
      <c r="AO7" s="21">
        <f t="shared" si="8"/>
        <v>0</v>
      </c>
      <c r="AP7" s="21">
        <f t="shared" si="9"/>
        <v>0</v>
      </c>
    </row>
    <row r="8" spans="1:42" ht="19.5" thickBot="1">
      <c r="A8" s="29" t="s">
        <v>8</v>
      </c>
      <c r="B8" s="262"/>
      <c r="C8" s="262"/>
      <c r="D8" s="161"/>
      <c r="E8" s="177">
        <f t="shared" si="10"/>
        <v>0</v>
      </c>
      <c r="F8" s="166"/>
      <c r="G8" s="164"/>
      <c r="H8" s="179">
        <f t="shared" si="11"/>
        <v>0</v>
      </c>
      <c r="I8" s="170"/>
      <c r="J8" s="181" t="str">
        <f t="shared" si="12"/>
        <v>ー</v>
      </c>
      <c r="K8" s="223"/>
      <c r="M8" s="56"/>
      <c r="Q8"/>
      <c r="R8"/>
      <c r="S8"/>
      <c r="T8" s="18" t="s">
        <v>153</v>
      </c>
      <c r="U8" s="19">
        <f t="shared" si="0"/>
        <v>-100000</v>
      </c>
      <c r="V8" s="30">
        <f t="shared" si="1"/>
        <v>0</v>
      </c>
      <c r="W8" s="31">
        <f t="shared" si="2"/>
        <v>0</v>
      </c>
      <c r="X8" s="32">
        <f>AA7</f>
        <v>1800000</v>
      </c>
      <c r="Y8" s="32" t="s">
        <v>23</v>
      </c>
      <c r="Z8" s="33" t="s">
        <v>21</v>
      </c>
      <c r="AA8" s="37">
        <v>3600000</v>
      </c>
      <c r="AB8" s="38" t="s">
        <v>22</v>
      </c>
      <c r="AC8" s="39" t="s">
        <v>24</v>
      </c>
      <c r="AD8" s="40" t="s">
        <v>25</v>
      </c>
      <c r="AE8" s="41">
        <v>0.3</v>
      </c>
      <c r="AF8" s="40" t="s">
        <v>26</v>
      </c>
      <c r="AG8" s="34">
        <v>80000</v>
      </c>
      <c r="AH8" s="19">
        <f t="shared" si="3"/>
        <v>-100000</v>
      </c>
      <c r="AI8" s="27">
        <f t="shared" si="13"/>
        <v>0</v>
      </c>
      <c r="AJ8" s="27">
        <f t="shared" si="4"/>
        <v>0</v>
      </c>
      <c r="AK8" s="42" t="s">
        <v>30</v>
      </c>
      <c r="AL8" s="28" t="str">
        <f t="shared" si="5"/>
        <v>0</v>
      </c>
      <c r="AM8" s="28" t="str">
        <f t="shared" si="6"/>
        <v>－</v>
      </c>
      <c r="AN8" s="21">
        <f t="shared" si="7"/>
        <v>0</v>
      </c>
      <c r="AO8" s="21">
        <f t="shared" si="8"/>
        <v>0</v>
      </c>
      <c r="AP8" s="21">
        <f t="shared" si="9"/>
        <v>0</v>
      </c>
    </row>
    <row r="9" spans="1:42">
      <c r="A9" s="29" t="s">
        <v>9</v>
      </c>
      <c r="B9" s="262"/>
      <c r="C9" s="262"/>
      <c r="D9" s="161"/>
      <c r="E9" s="177">
        <f t="shared" si="10"/>
        <v>0</v>
      </c>
      <c r="F9" s="166"/>
      <c r="G9" s="165"/>
      <c r="H9" s="179">
        <f t="shared" si="11"/>
        <v>0</v>
      </c>
      <c r="I9" s="170"/>
      <c r="J9" s="181" t="str">
        <f t="shared" si="12"/>
        <v>ー</v>
      </c>
      <c r="K9" s="223"/>
      <c r="M9" s="56"/>
      <c r="Q9"/>
      <c r="R9"/>
      <c r="S9"/>
      <c r="T9" s="18" t="s">
        <v>16</v>
      </c>
      <c r="U9" s="19">
        <f t="shared" si="0"/>
        <v>-100000</v>
      </c>
      <c r="V9" s="30">
        <f t="shared" si="1"/>
        <v>0</v>
      </c>
      <c r="W9" s="31">
        <f t="shared" si="2"/>
        <v>0</v>
      </c>
      <c r="X9" s="32">
        <f>AA8</f>
        <v>3600000</v>
      </c>
      <c r="Y9" s="32" t="s">
        <v>23</v>
      </c>
      <c r="Z9" s="33" t="s">
        <v>21</v>
      </c>
      <c r="AA9" s="37">
        <v>6600000</v>
      </c>
      <c r="AB9" s="38" t="s">
        <v>22</v>
      </c>
      <c r="AC9" s="39" t="s">
        <v>24</v>
      </c>
      <c r="AD9" s="40" t="s">
        <v>25</v>
      </c>
      <c r="AE9" s="41">
        <v>0.2</v>
      </c>
      <c r="AF9" s="40" t="s">
        <v>26</v>
      </c>
      <c r="AG9" s="34">
        <v>440000</v>
      </c>
      <c r="AH9" s="19">
        <f t="shared" si="3"/>
        <v>-100000</v>
      </c>
      <c r="AI9" s="27">
        <f t="shared" si="13"/>
        <v>0</v>
      </c>
      <c r="AJ9" s="27">
        <f t="shared" si="4"/>
        <v>0</v>
      </c>
      <c r="AL9" s="28" t="str">
        <f t="shared" si="5"/>
        <v>0</v>
      </c>
      <c r="AM9" s="28" t="str">
        <f t="shared" si="6"/>
        <v>－</v>
      </c>
      <c r="AN9" s="21">
        <f t="shared" si="7"/>
        <v>0</v>
      </c>
      <c r="AO9" s="21">
        <f t="shared" si="8"/>
        <v>0</v>
      </c>
      <c r="AP9" s="21">
        <f t="shared" si="9"/>
        <v>0</v>
      </c>
    </row>
    <row r="10" spans="1:42">
      <c r="A10" s="29" t="s">
        <v>10</v>
      </c>
      <c r="B10" s="262"/>
      <c r="C10" s="262"/>
      <c r="D10" s="161"/>
      <c r="E10" s="177">
        <f t="shared" si="10"/>
        <v>0</v>
      </c>
      <c r="F10" s="166"/>
      <c r="G10" s="165"/>
      <c r="H10" s="179">
        <f t="shared" si="11"/>
        <v>0</v>
      </c>
      <c r="I10" s="170"/>
      <c r="J10" s="181" t="str">
        <f t="shared" si="12"/>
        <v>ー</v>
      </c>
      <c r="K10" s="223"/>
      <c r="M10" s="56"/>
      <c r="Q10"/>
      <c r="R10"/>
      <c r="S10"/>
      <c r="T10" s="18" t="s">
        <v>17</v>
      </c>
      <c r="U10" s="19">
        <f t="shared" si="0"/>
        <v>-100000</v>
      </c>
      <c r="V10" s="30">
        <f t="shared" si="1"/>
        <v>0</v>
      </c>
      <c r="W10" s="31">
        <f t="shared" si="2"/>
        <v>0</v>
      </c>
      <c r="X10" s="32">
        <f>AA9</f>
        <v>6600000</v>
      </c>
      <c r="Y10" s="32" t="s">
        <v>23</v>
      </c>
      <c r="Z10" s="33" t="s">
        <v>21</v>
      </c>
      <c r="AA10" s="37">
        <v>8500000</v>
      </c>
      <c r="AB10" s="38" t="s">
        <v>22</v>
      </c>
      <c r="AC10" s="39" t="s">
        <v>24</v>
      </c>
      <c r="AD10" s="40" t="s">
        <v>25</v>
      </c>
      <c r="AE10" s="41">
        <v>0.1</v>
      </c>
      <c r="AF10" s="40" t="s">
        <v>26</v>
      </c>
      <c r="AG10" s="34">
        <v>1100000</v>
      </c>
      <c r="AH10" s="19">
        <f t="shared" si="3"/>
        <v>-100000</v>
      </c>
      <c r="AI10" s="27">
        <f t="shared" si="13"/>
        <v>0</v>
      </c>
      <c r="AJ10" s="27">
        <f t="shared" si="4"/>
        <v>0</v>
      </c>
      <c r="AL10" s="28" t="str">
        <f t="shared" si="5"/>
        <v>0</v>
      </c>
      <c r="AM10" s="28" t="str">
        <f t="shared" si="6"/>
        <v>－</v>
      </c>
      <c r="AN10" s="21">
        <f t="shared" si="7"/>
        <v>0</v>
      </c>
      <c r="AO10" s="21">
        <f t="shared" si="8"/>
        <v>0</v>
      </c>
      <c r="AP10" s="21">
        <f t="shared" si="9"/>
        <v>0</v>
      </c>
    </row>
    <row r="11" spans="1:42" ht="19.5" thickBot="1">
      <c r="A11" s="29" t="s">
        <v>11</v>
      </c>
      <c r="B11" s="262"/>
      <c r="C11" s="262"/>
      <c r="D11" s="161"/>
      <c r="E11" s="177">
        <f t="shared" si="10"/>
        <v>0</v>
      </c>
      <c r="F11" s="166"/>
      <c r="G11" s="165"/>
      <c r="H11" s="179">
        <f t="shared" si="11"/>
        <v>0</v>
      </c>
      <c r="I11" s="170"/>
      <c r="J11" s="181" t="str">
        <f t="shared" si="12"/>
        <v>ー</v>
      </c>
      <c r="K11" s="223"/>
      <c r="M11" s="56"/>
      <c r="Q11"/>
      <c r="R11"/>
      <c r="S11"/>
      <c r="T11" s="18" t="s">
        <v>18</v>
      </c>
      <c r="U11" s="19">
        <f t="shared" si="0"/>
        <v>-100000</v>
      </c>
      <c r="V11" s="30">
        <f t="shared" si="1"/>
        <v>0</v>
      </c>
      <c r="W11" s="31">
        <f t="shared" si="2"/>
        <v>0</v>
      </c>
      <c r="X11" s="43">
        <f>AA10</f>
        <v>8500000</v>
      </c>
      <c r="Y11" s="44" t="s">
        <v>23</v>
      </c>
      <c r="Z11" s="45" t="s">
        <v>21</v>
      </c>
      <c r="AA11" s="42"/>
      <c r="AB11" s="46"/>
      <c r="AC11" s="47">
        <v>1950000</v>
      </c>
      <c r="AD11" s="42" t="s">
        <v>27</v>
      </c>
      <c r="AE11" s="42"/>
      <c r="AF11" s="42"/>
      <c r="AG11" s="42"/>
      <c r="AH11" s="19">
        <f t="shared" si="3"/>
        <v>-100000</v>
      </c>
      <c r="AI11" s="27">
        <f t="shared" si="13"/>
        <v>0</v>
      </c>
      <c r="AJ11" s="27">
        <f t="shared" si="4"/>
        <v>0</v>
      </c>
      <c r="AL11" s="28" t="str">
        <f t="shared" si="5"/>
        <v>0</v>
      </c>
      <c r="AM11" s="28" t="str">
        <f t="shared" si="6"/>
        <v>－</v>
      </c>
      <c r="AN11" s="21">
        <f t="shared" si="7"/>
        <v>0</v>
      </c>
      <c r="AO11" s="21">
        <f t="shared" si="8"/>
        <v>0</v>
      </c>
      <c r="AP11" s="21">
        <f t="shared" si="9"/>
        <v>0</v>
      </c>
    </row>
    <row r="12" spans="1:42">
      <c r="A12" s="29" t="s">
        <v>12</v>
      </c>
      <c r="B12" s="262"/>
      <c r="C12" s="262"/>
      <c r="D12" s="161"/>
      <c r="E12" s="177">
        <f t="shared" si="10"/>
        <v>0</v>
      </c>
      <c r="F12" s="166"/>
      <c r="G12" s="165"/>
      <c r="H12" s="179">
        <f>IF(SUM(E12,F12,G12)&gt;0,SUM(E12,F12,G12),0)</f>
        <v>0</v>
      </c>
      <c r="I12" s="170"/>
      <c r="J12" s="181" t="str">
        <f t="shared" si="12"/>
        <v>ー</v>
      </c>
      <c r="K12" s="223"/>
      <c r="M12" s="56"/>
      <c r="Q12"/>
      <c r="R12"/>
      <c r="S12"/>
      <c r="T12" s="18" t="s">
        <v>15</v>
      </c>
      <c r="U12" s="19">
        <f t="shared" si="0"/>
        <v>-100000</v>
      </c>
      <c r="V12" s="30">
        <f t="shared" si="1"/>
        <v>0</v>
      </c>
      <c r="W12" s="31">
        <f t="shared" si="2"/>
        <v>0</v>
      </c>
      <c r="AF12"/>
      <c r="AH12" s="19">
        <f t="shared" si="3"/>
        <v>-100000</v>
      </c>
      <c r="AI12" s="27">
        <f t="shared" si="13"/>
        <v>0</v>
      </c>
      <c r="AJ12" s="27">
        <f t="shared" si="4"/>
        <v>0</v>
      </c>
      <c r="AL12" s="28" t="str">
        <f t="shared" si="5"/>
        <v>0</v>
      </c>
      <c r="AM12" s="28" t="str">
        <f t="shared" si="6"/>
        <v>－</v>
      </c>
      <c r="AN12" s="21">
        <f t="shared" si="7"/>
        <v>0</v>
      </c>
      <c r="AO12" s="21">
        <f t="shared" si="8"/>
        <v>0</v>
      </c>
      <c r="AP12" s="21">
        <f t="shared" si="9"/>
        <v>0</v>
      </c>
    </row>
    <row r="13" spans="1:42" ht="19.5" thickBot="1">
      <c r="A13" s="49" t="s">
        <v>13</v>
      </c>
      <c r="B13" s="264"/>
      <c r="C13" s="264"/>
      <c r="D13" s="162"/>
      <c r="E13" s="178">
        <f t="shared" si="10"/>
        <v>0</v>
      </c>
      <c r="F13" s="167"/>
      <c r="G13" s="168"/>
      <c r="H13" s="180">
        <f t="shared" si="11"/>
        <v>0</v>
      </c>
      <c r="I13" s="171"/>
      <c r="J13" s="182" t="str">
        <f t="shared" si="12"/>
        <v>ー</v>
      </c>
      <c r="K13" s="224"/>
      <c r="M13" s="56"/>
      <c r="Q13"/>
      <c r="R13"/>
      <c r="S13"/>
      <c r="T13" s="48" t="s">
        <v>19</v>
      </c>
      <c r="U13" s="19">
        <f t="shared" si="0"/>
        <v>-100000</v>
      </c>
      <c r="V13" s="51">
        <f>IF(D13&lt;=$AA$6,MAX(D13-$AC$6,0),IF(D13&lt;=$AA$7,ROUNDDOWN(D13/4,-3)*4*(1-$AC$7),IF(D13&lt;=$AA$8,ROUNDDOWN(D13/4,-3)*4*(1-$AE$8)-$AG$8,IF(D13&lt;=$AA$9,ROUNDDOWN(D13/4,-3)*4*(1-$AE$9)-$AG$9,IF(D13&lt;=$AA$10,ROUNDDOWN(D13*(1-$AE$10)-$AG$10,0),IF(D13&gt;$AA$10,D13-$AC$11))))))</f>
        <v>0</v>
      </c>
      <c r="W13" s="52">
        <f t="shared" si="2"/>
        <v>0</v>
      </c>
      <c r="Y13" s="145" t="s">
        <v>152</v>
      </c>
      <c r="AF13"/>
      <c r="AH13" s="19">
        <f t="shared" si="3"/>
        <v>-100000</v>
      </c>
      <c r="AI13" s="27">
        <f t="shared" si="13"/>
        <v>0</v>
      </c>
      <c r="AJ13" s="27">
        <f t="shared" si="4"/>
        <v>0</v>
      </c>
      <c r="AL13" s="152" t="str">
        <f t="shared" si="5"/>
        <v>0</v>
      </c>
      <c r="AM13" s="53" t="str">
        <f t="shared" si="6"/>
        <v>－</v>
      </c>
      <c r="AN13" s="54">
        <f t="shared" si="7"/>
        <v>0</v>
      </c>
      <c r="AO13" s="54">
        <f t="shared" si="8"/>
        <v>0</v>
      </c>
      <c r="AP13" s="21">
        <f t="shared" si="9"/>
        <v>0</v>
      </c>
    </row>
    <row r="14" spans="1:42" ht="18.75" customHeight="1" thickTop="1" thickBot="1">
      <c r="B14" s="55" t="s">
        <v>125</v>
      </c>
      <c r="J14" s="56"/>
      <c r="M14" s="56"/>
      <c r="Q14"/>
      <c r="R14"/>
      <c r="S14"/>
      <c r="U14" s="131">
        <v>100000</v>
      </c>
      <c r="V14" s="2"/>
      <c r="W14" s="2"/>
      <c r="Y14" s="134" t="s">
        <v>154</v>
      </c>
      <c r="AF14"/>
      <c r="AH14" s="131">
        <v>100000</v>
      </c>
      <c r="AJ14" s="132">
        <v>150000</v>
      </c>
      <c r="AL14" s="153">
        <f>SUM(AL6:AL13)</f>
        <v>0</v>
      </c>
      <c r="AM14" s="133">
        <f>SUM(AM6:AM13)</f>
        <v>0</v>
      </c>
    </row>
    <row r="15" spans="1:42">
      <c r="B15" s="57" t="s">
        <v>124</v>
      </c>
      <c r="Q15"/>
      <c r="R15"/>
      <c r="S15"/>
      <c r="U15" s="134"/>
      <c r="V15" s="2"/>
      <c r="W15" s="2"/>
      <c r="AF15"/>
      <c r="AJ15" s="3"/>
    </row>
    <row r="16" spans="1:42">
      <c r="B16" s="57" t="s">
        <v>143</v>
      </c>
      <c r="Q16"/>
      <c r="R16"/>
      <c r="S16"/>
      <c r="T16" t="s">
        <v>133</v>
      </c>
      <c r="U16" s="2"/>
      <c r="V16" s="2"/>
      <c r="W16" s="2"/>
      <c r="AF16"/>
      <c r="AJ16" s="3"/>
    </row>
    <row r="17" spans="1:37">
      <c r="Q17"/>
      <c r="R17"/>
      <c r="S17"/>
      <c r="T17" t="s">
        <v>134</v>
      </c>
      <c r="U17" s="2"/>
      <c r="V17" s="2"/>
      <c r="W17" s="2"/>
      <c r="AF17"/>
      <c r="AJ17" s="3"/>
    </row>
    <row r="18" spans="1:37" hidden="1">
      <c r="B18" s="265" t="s">
        <v>31</v>
      </c>
      <c r="C18" s="266"/>
      <c r="D18" s="202" t="s">
        <v>32</v>
      </c>
      <c r="E18" s="203" t="s">
        <v>37</v>
      </c>
      <c r="F18" s="203" t="s">
        <v>38</v>
      </c>
      <c r="G18" s="204"/>
      <c r="H18" s="204"/>
      <c r="Q18"/>
      <c r="R18"/>
      <c r="S18"/>
      <c r="T18" t="s">
        <v>135</v>
      </c>
      <c r="U18" s="2"/>
      <c r="V18" s="2"/>
      <c r="W18" s="2"/>
      <c r="AF18"/>
      <c r="AJ18" s="3"/>
    </row>
    <row r="19" spans="1:37" ht="14.45" hidden="1" customHeight="1" thickBot="1">
      <c r="B19" s="267">
        <f>MAX(SUM(AI6:AI13,G6:G13,AJ6:AJ13),)</f>
        <v>0</v>
      </c>
      <c r="C19" s="268"/>
      <c r="D19" s="205">
        <f>SUM(X32,X33*MAX((AM14-1),))</f>
        <v>430000</v>
      </c>
      <c r="E19" s="206">
        <f>SUM(X32,X34*AL14,X33*MAX((AM14-1),))</f>
        <v>430000</v>
      </c>
      <c r="F19" s="206">
        <f>SUM(X32,X35*AL14,X33*MAX((AM14-1),))</f>
        <v>430000</v>
      </c>
      <c r="G19" s="204"/>
      <c r="H19" s="204"/>
      <c r="Q19"/>
      <c r="R19"/>
      <c r="S19"/>
      <c r="T19" t="s">
        <v>146</v>
      </c>
      <c r="U19" s="2"/>
      <c r="V19" s="2"/>
      <c r="W19" s="2"/>
      <c r="AF19"/>
      <c r="AJ19" s="3"/>
    </row>
    <row r="20" spans="1:37" ht="14.45" hidden="1" customHeight="1">
      <c r="B20" s="204" t="s">
        <v>50</v>
      </c>
      <c r="C20" s="204"/>
      <c r="D20" s="204"/>
      <c r="E20" s="204"/>
      <c r="F20" s="204"/>
      <c r="G20" s="204"/>
      <c r="H20" s="204"/>
      <c r="Q20"/>
      <c r="R20"/>
      <c r="S20"/>
      <c r="U20" s="2"/>
      <c r="V20" s="2"/>
      <c r="W20" s="2"/>
      <c r="AF20"/>
      <c r="AJ20" s="3"/>
    </row>
    <row r="21" spans="1:37" ht="14.45" hidden="1" customHeight="1" thickBot="1">
      <c r="B21" s="207" t="s">
        <v>39</v>
      </c>
      <c r="C21" s="208" t="str">
        <f>IF(B6=T6,B20,IF(B19&lt;=D19,D18,IF(B19&lt;=E19,E18,IF(B19&lt;=F19,F18,IF(B19&gt;F19,B20)))))</f>
        <v>該当なし</v>
      </c>
      <c r="D21" s="204" t="s">
        <v>142</v>
      </c>
      <c r="E21" s="204"/>
      <c r="F21" s="204"/>
      <c r="G21" s="204"/>
      <c r="H21" s="204"/>
      <c r="Q21"/>
      <c r="R21"/>
      <c r="S21"/>
      <c r="U21" s="2"/>
      <c r="V21" s="2"/>
      <c r="W21" s="2"/>
      <c r="AF21"/>
      <c r="AJ21" s="3"/>
    </row>
    <row r="22" spans="1:37" ht="10.5" customHeight="1">
      <c r="Q22"/>
      <c r="R22"/>
      <c r="S22"/>
      <c r="V22" s="2"/>
      <c r="W22" s="2"/>
      <c r="X22" s="2"/>
      <c r="AF22"/>
      <c r="AK22" s="3"/>
    </row>
    <row r="23" spans="1:37" ht="27" customHeight="1">
      <c r="A23" s="225" t="s">
        <v>112</v>
      </c>
      <c r="B23" s="225"/>
      <c r="C23" s="225"/>
      <c r="D23" s="225"/>
      <c r="E23" s="225"/>
      <c r="F23" s="225"/>
      <c r="G23" s="225"/>
      <c r="H23" s="225"/>
      <c r="I23" s="225"/>
      <c r="J23" s="225"/>
      <c r="K23" s="225"/>
      <c r="L23" s="225"/>
      <c r="M23" s="225"/>
      <c r="N23" s="225"/>
      <c r="O23" s="225"/>
      <c r="P23" s="225"/>
      <c r="Q23" s="225"/>
      <c r="R23" s="225"/>
      <c r="T23" s="58" t="s">
        <v>156</v>
      </c>
    </row>
    <row r="24" spans="1:37" ht="27" customHeight="1" thickBot="1">
      <c r="A24" s="175"/>
      <c r="B24" s="175"/>
      <c r="C24" s="175"/>
      <c r="D24" s="175"/>
      <c r="E24" s="175"/>
      <c r="F24" s="175"/>
      <c r="G24" s="175"/>
      <c r="H24" s="175"/>
      <c r="I24" s="175"/>
      <c r="J24" s="175"/>
      <c r="K24" s="175"/>
      <c r="L24" s="175"/>
      <c r="M24" s="175"/>
      <c r="N24" s="175"/>
      <c r="O24" s="175"/>
      <c r="P24" s="175"/>
      <c r="Q24" s="175"/>
      <c r="R24" s="175"/>
      <c r="S24" s="3"/>
      <c r="T24" s="58"/>
    </row>
    <row r="25" spans="1:37" ht="20.25" thickBot="1">
      <c r="A25" s="244" t="s">
        <v>46</v>
      </c>
      <c r="B25" s="245"/>
      <c r="C25" s="245"/>
      <c r="D25" s="199">
        <f>SUM(D39:P39,)</f>
        <v>0</v>
      </c>
      <c r="F25" s="176" t="s">
        <v>170</v>
      </c>
      <c r="G25" s="120"/>
      <c r="H25" s="120"/>
      <c r="I25" s="120"/>
      <c r="N25" s="150"/>
      <c r="S25"/>
      <c r="T25" s="59" t="s">
        <v>51</v>
      </c>
      <c r="U25" s="60" t="s">
        <v>52</v>
      </c>
      <c r="V25" s="61" t="s">
        <v>53</v>
      </c>
      <c r="W25" s="62" t="s">
        <v>54</v>
      </c>
      <c r="X25" s="155" t="s">
        <v>162</v>
      </c>
      <c r="Y25" s="63" t="s">
        <v>97</v>
      </c>
      <c r="AF25"/>
      <c r="AK25" s="3"/>
    </row>
    <row r="26" spans="1:37">
      <c r="A26" s="242" t="s">
        <v>47</v>
      </c>
      <c r="B26" s="243"/>
      <c r="C26" s="243"/>
      <c r="D26" s="200">
        <f>D25/8</f>
        <v>0</v>
      </c>
      <c r="S26"/>
      <c r="T26" s="64" t="s">
        <v>55</v>
      </c>
      <c r="U26" s="146">
        <v>19800</v>
      </c>
      <c r="V26" s="122">
        <v>25500</v>
      </c>
      <c r="W26" s="123">
        <v>8.2000000000000003E-2</v>
      </c>
      <c r="X26" s="156">
        <v>0.17499999999999999</v>
      </c>
      <c r="Y26" s="124">
        <v>670000</v>
      </c>
      <c r="AD26" s="2"/>
      <c r="AE26" s="2"/>
      <c r="AF26" s="2"/>
      <c r="AK26" s="3"/>
    </row>
    <row r="27" spans="1:37" ht="19.5" thickBot="1">
      <c r="A27" s="240" t="s">
        <v>49</v>
      </c>
      <c r="B27" s="241"/>
      <c r="C27" s="241"/>
      <c r="D27" s="201">
        <f>ROUNDDOWN(D25/12,0)</f>
        <v>0</v>
      </c>
      <c r="S27"/>
      <c r="T27" s="66" t="s">
        <v>56</v>
      </c>
      <c r="U27" s="147">
        <v>7100</v>
      </c>
      <c r="V27" s="125">
        <v>7400</v>
      </c>
      <c r="W27" s="126">
        <v>3.2000000000000001E-2</v>
      </c>
      <c r="X27" s="156">
        <v>5.1999999999999998E-2</v>
      </c>
      <c r="Y27" s="124">
        <v>260000</v>
      </c>
      <c r="Z27" s="67" t="s">
        <v>130</v>
      </c>
      <c r="AD27" s="3"/>
      <c r="AE27" s="3"/>
      <c r="AK27" s="3"/>
    </row>
    <row r="28" spans="1:37" ht="19.5" customHeight="1" thickBot="1">
      <c r="Q28"/>
      <c r="R28"/>
      <c r="S28"/>
      <c r="T28" s="68" t="s">
        <v>57</v>
      </c>
      <c r="U28" s="127">
        <v>7600</v>
      </c>
      <c r="V28" s="50">
        <v>6500</v>
      </c>
      <c r="W28" s="128">
        <v>0.03</v>
      </c>
      <c r="X28" s="156">
        <v>4.8000000000000001E-2</v>
      </c>
      <c r="Y28" s="129">
        <v>170000</v>
      </c>
      <c r="AD28" s="2"/>
      <c r="AE28" s="2"/>
      <c r="AF28" s="2"/>
      <c r="AK28" s="3"/>
    </row>
    <row r="29" spans="1:37" ht="19.5" customHeight="1" thickBot="1">
      <c r="A29" s="256" t="s">
        <v>0</v>
      </c>
      <c r="B29" s="260" t="s">
        <v>167</v>
      </c>
      <c r="C29" s="260"/>
      <c r="D29" s="226" t="s">
        <v>40</v>
      </c>
      <c r="E29" s="227"/>
      <c r="F29" s="227"/>
      <c r="G29" s="235"/>
      <c r="H29" s="236" t="s">
        <v>41</v>
      </c>
      <c r="I29" s="237"/>
      <c r="J29" s="237"/>
      <c r="K29" s="238"/>
      <c r="L29" s="226" t="s">
        <v>42</v>
      </c>
      <c r="M29" s="227"/>
      <c r="N29" s="227"/>
      <c r="O29" s="235"/>
      <c r="P29" s="226" t="s">
        <v>158</v>
      </c>
      <c r="Q29" s="227"/>
      <c r="R29" s="228"/>
      <c r="S29"/>
      <c r="T29" s="68" t="s">
        <v>157</v>
      </c>
      <c r="U29" s="127">
        <v>1122</v>
      </c>
      <c r="V29" s="148">
        <v>714</v>
      </c>
      <c r="W29" s="128">
        <v>2.5000000000000001E-3</v>
      </c>
      <c r="X29" s="157"/>
      <c r="Y29" s="129">
        <v>30000</v>
      </c>
      <c r="AD29" s="2"/>
      <c r="AE29" s="2"/>
      <c r="AF29" s="2"/>
      <c r="AK29" s="3"/>
    </row>
    <row r="30" spans="1:37" ht="19.5" customHeight="1" thickBot="1">
      <c r="A30" s="257"/>
      <c r="B30" s="261"/>
      <c r="C30" s="261"/>
      <c r="D30" s="65" t="s">
        <v>43</v>
      </c>
      <c r="E30" s="65" t="s">
        <v>164</v>
      </c>
      <c r="F30" s="65" t="s">
        <v>45</v>
      </c>
      <c r="G30" s="65" t="s">
        <v>44</v>
      </c>
      <c r="H30" s="65" t="s">
        <v>43</v>
      </c>
      <c r="I30" s="65" t="s">
        <v>164</v>
      </c>
      <c r="J30" s="65" t="s">
        <v>45</v>
      </c>
      <c r="K30" s="65" t="s">
        <v>44</v>
      </c>
      <c r="L30" s="65" t="s">
        <v>43</v>
      </c>
      <c r="M30" s="65" t="s">
        <v>164</v>
      </c>
      <c r="N30" s="65" t="s">
        <v>45</v>
      </c>
      <c r="O30" s="65" t="s">
        <v>44</v>
      </c>
      <c r="P30" s="154" t="s">
        <v>43</v>
      </c>
      <c r="Q30" s="65" t="s">
        <v>45</v>
      </c>
      <c r="R30" s="158" t="s">
        <v>165</v>
      </c>
      <c r="S30" s="151"/>
      <c r="U30" s="2"/>
      <c r="AF30"/>
      <c r="AJ30" s="3"/>
    </row>
    <row r="31" spans="1:37" ht="19.5" customHeight="1" thickTop="1" thickBot="1">
      <c r="A31" s="183" t="s">
        <v>6</v>
      </c>
      <c r="B31" s="258">
        <f t="shared" ref="B31:B38" si="14">MAX(IF(H6&lt;=$V$32,H6-$T$32,IF(H6&lt;=$V$33,H6-$T$33,IF(H6&lt;=$V$34,H6-$T$34,IF(H6&gt;=$U$35,H6-$T$35)))),)</f>
        <v>0</v>
      </c>
      <c r="C31" s="258"/>
      <c r="D31" s="184">
        <f t="shared" ref="D31:D38" si="15">ROUNDDOWN(IF(B6=$T$7,AN6,IF($C$21=$D$18,AL6*$U$26*0.3,IF($C$21=$E$18,AL6*$U$26*0.5,IF($C$21=$F$18,AL6*$U$26*0.8,IF($C$21=$B$20,AL6*$U$26))))),0)</f>
        <v>0</v>
      </c>
      <c r="E31" s="184">
        <f t="shared" ref="E31:E38" si="16">IF(AL6=1,ROUNDDOWN(K6*$X$26,0),0)</f>
        <v>0</v>
      </c>
      <c r="F31" s="184">
        <f t="shared" ref="F31:F38" si="17">IF(AL6=1,ROUNDDOWN(B31*$W$26,0),0)</f>
        <v>0</v>
      </c>
      <c r="G31" s="246">
        <f>IF(AL14&gt;=1,IF(C21=D18,V26*0.3,IF(C21=E18,V26*0.5,IF(C21=F18,V26*0.8,IF(C21=B20,V26)))),0)</f>
        <v>0</v>
      </c>
      <c r="H31" s="184">
        <f t="shared" ref="H31:H38" si="18">ROUNDDOWN(IF(B6=$T$7,AO6,IF($C$21=$D$18,AL6*$U$27*0.3,IF($C$21=$E$18,AL6*$U$27*0.5,IF($C$21=$F$18,AL6*$U$27*0.8,IF($C$21=$B$20,AL6*$U$27))))),0)</f>
        <v>0</v>
      </c>
      <c r="I31" s="184">
        <f t="shared" ref="I31:I38" si="19">IF(AL6=1,ROUNDDOWN(K6*$X$27,0),0)</f>
        <v>0</v>
      </c>
      <c r="J31" s="184">
        <f t="shared" ref="J31:J38" si="20">IF(AL6=1,ROUNDDOWN(B31*$W$27,0),0)</f>
        <v>0</v>
      </c>
      <c r="K31" s="246">
        <f>IF(AL14&gt;=1,IF(C21=D18,V27*0.3,IF(C21=E18,V27*0.5,IF(C21=F18,V27*0.8,IF(C21=B20,V27)))),0)</f>
        <v>0</v>
      </c>
      <c r="L31" s="184">
        <f t="shared" ref="L31:L38" si="21">IF(B6=$T$10,IF($C$21=$D$18,AL6*$U$28*0.3,IF($C$21=$E$18,AL6*$U$28*0.5,IF($C$21=$F$18,AL6*$U$28*0.8,IF($C$21=$B$20,AL6*$U$28)))),0)</f>
        <v>0</v>
      </c>
      <c r="M31" s="184">
        <f t="shared" ref="M31:M37" si="22">IF(B6=$T$10,ROUNDDOWN(K6*$X$28,0),0)</f>
        <v>0</v>
      </c>
      <c r="N31" s="184">
        <f t="shared" ref="N31:N38" si="23">IF(B6=$T$10,ROUNDDOWN(B31*$W$28,0),0)</f>
        <v>0</v>
      </c>
      <c r="O31" s="246">
        <f>IF(SUM(L31:N38)&gt;=1,IF(C21=D18,V28*0.3,IF(C21=E18,V28*0.5,IF(C21=F18,V28*0.8,IF(C21=B20,V28)))),0)</f>
        <v>0</v>
      </c>
      <c r="P31" s="185">
        <f t="shared" ref="P31:P38" si="24">IF(OR(B6=$T$9,B6=$T$10,B6=$T$11),IF($C$21=$D$18,AL6*$U$29*0.3,IF($C$21=$E$18,AL6*$U$29*0.5,IF($C$21=$F$18,AL6*$U$29*0.8,IF($C$21=$B$20,AL6*$U$29)))),0)</f>
        <v>0</v>
      </c>
      <c r="Q31" s="184">
        <f t="shared" ref="Q31:Q38" si="25">IF(OR(B6=$T$9,B6=$T$10,B6=$T$11),ROUNDDOWN(B31*$W$29,0),0)</f>
        <v>0</v>
      </c>
      <c r="R31" s="229">
        <f>IF(AL14&gt;=1,IF(C21=D18,V29*0.3,IF(C21=E18,V29*0.5,IF(C21=F18,V29*0.8,IF(C21=B20,V29)))),0)</f>
        <v>0</v>
      </c>
      <c r="S31" s="56"/>
      <c r="T31" s="69" t="s">
        <v>136</v>
      </c>
      <c r="U31" s="70" t="s">
        <v>129</v>
      </c>
      <c r="V31" s="71" t="s">
        <v>128</v>
      </c>
      <c r="W31" s="138" t="s">
        <v>147</v>
      </c>
      <c r="X31" s="139"/>
      <c r="Y31" s="67" t="s">
        <v>151</v>
      </c>
      <c r="AF31"/>
      <c r="AJ31" s="3"/>
    </row>
    <row r="32" spans="1:37" ht="19.5" customHeight="1" thickTop="1">
      <c r="A32" s="186" t="s">
        <v>7</v>
      </c>
      <c r="B32" s="259">
        <f t="shared" si="14"/>
        <v>0</v>
      </c>
      <c r="C32" s="259"/>
      <c r="D32" s="179">
        <f t="shared" si="15"/>
        <v>0</v>
      </c>
      <c r="E32" s="179">
        <f t="shared" si="16"/>
        <v>0</v>
      </c>
      <c r="F32" s="179">
        <f t="shared" si="17"/>
        <v>0</v>
      </c>
      <c r="G32" s="247"/>
      <c r="H32" s="179">
        <f t="shared" si="18"/>
        <v>0</v>
      </c>
      <c r="I32" s="179">
        <f t="shared" si="19"/>
        <v>0</v>
      </c>
      <c r="J32" s="179">
        <f t="shared" si="20"/>
        <v>0</v>
      </c>
      <c r="K32" s="247"/>
      <c r="L32" s="177">
        <f t="shared" si="21"/>
        <v>0</v>
      </c>
      <c r="M32" s="179">
        <f t="shared" si="22"/>
        <v>0</v>
      </c>
      <c r="N32" s="179">
        <f t="shared" si="23"/>
        <v>0</v>
      </c>
      <c r="O32" s="247"/>
      <c r="P32" s="187">
        <f t="shared" si="24"/>
        <v>0</v>
      </c>
      <c r="Q32" s="179">
        <f t="shared" si="25"/>
        <v>0</v>
      </c>
      <c r="R32" s="230"/>
      <c r="T32" s="72">
        <v>430000</v>
      </c>
      <c r="U32" s="73"/>
      <c r="V32" s="74">
        <v>24000000</v>
      </c>
      <c r="W32" s="140" t="s">
        <v>148</v>
      </c>
      <c r="X32" s="143">
        <v>430000</v>
      </c>
      <c r="AF32"/>
      <c r="AJ32" s="3"/>
    </row>
    <row r="33" spans="1:36" ht="19.5" customHeight="1">
      <c r="A33" s="188" t="s">
        <v>8</v>
      </c>
      <c r="B33" s="249">
        <f t="shared" si="14"/>
        <v>0</v>
      </c>
      <c r="C33" s="249"/>
      <c r="D33" s="189">
        <f t="shared" si="15"/>
        <v>0</v>
      </c>
      <c r="E33" s="189">
        <f t="shared" si="16"/>
        <v>0</v>
      </c>
      <c r="F33" s="189">
        <f t="shared" si="17"/>
        <v>0</v>
      </c>
      <c r="G33" s="247"/>
      <c r="H33" s="189">
        <f t="shared" si="18"/>
        <v>0</v>
      </c>
      <c r="I33" s="189">
        <f t="shared" si="19"/>
        <v>0</v>
      </c>
      <c r="J33" s="189">
        <f t="shared" si="20"/>
        <v>0</v>
      </c>
      <c r="K33" s="247"/>
      <c r="L33" s="190">
        <f t="shared" si="21"/>
        <v>0</v>
      </c>
      <c r="M33" s="191">
        <f t="shared" si="22"/>
        <v>0</v>
      </c>
      <c r="N33" s="190">
        <f t="shared" si="23"/>
        <v>0</v>
      </c>
      <c r="O33" s="247"/>
      <c r="P33" s="192">
        <f t="shared" si="24"/>
        <v>0</v>
      </c>
      <c r="Q33" s="189">
        <f t="shared" si="25"/>
        <v>0</v>
      </c>
      <c r="R33" s="230"/>
      <c r="T33" s="75">
        <v>290000</v>
      </c>
      <c r="U33" s="76">
        <v>24000001</v>
      </c>
      <c r="V33" s="77">
        <v>24500000</v>
      </c>
      <c r="W33" s="140" t="s">
        <v>148</v>
      </c>
      <c r="X33" s="141">
        <v>100000</v>
      </c>
      <c r="AF33"/>
      <c r="AJ33" s="3"/>
    </row>
    <row r="34" spans="1:36" ht="19.5" customHeight="1">
      <c r="A34" s="186" t="s">
        <v>9</v>
      </c>
      <c r="B34" s="259">
        <f t="shared" si="14"/>
        <v>0</v>
      </c>
      <c r="C34" s="259"/>
      <c r="D34" s="179">
        <f t="shared" si="15"/>
        <v>0</v>
      </c>
      <c r="E34" s="179">
        <f t="shared" si="16"/>
        <v>0</v>
      </c>
      <c r="F34" s="179">
        <f t="shared" si="17"/>
        <v>0</v>
      </c>
      <c r="G34" s="247"/>
      <c r="H34" s="179">
        <f t="shared" si="18"/>
        <v>0</v>
      </c>
      <c r="I34" s="179">
        <f t="shared" si="19"/>
        <v>0</v>
      </c>
      <c r="J34" s="179">
        <f t="shared" si="20"/>
        <v>0</v>
      </c>
      <c r="K34" s="247"/>
      <c r="L34" s="177">
        <f t="shared" si="21"/>
        <v>0</v>
      </c>
      <c r="M34" s="179">
        <f t="shared" si="22"/>
        <v>0</v>
      </c>
      <c r="N34" s="177">
        <f t="shared" si="23"/>
        <v>0</v>
      </c>
      <c r="O34" s="247"/>
      <c r="P34" s="187">
        <f t="shared" si="24"/>
        <v>0</v>
      </c>
      <c r="Q34" s="179">
        <f t="shared" si="25"/>
        <v>0</v>
      </c>
      <c r="R34" s="230"/>
      <c r="T34" s="75">
        <v>150000</v>
      </c>
      <c r="U34" s="76">
        <v>24500001</v>
      </c>
      <c r="V34" s="77">
        <v>25000000</v>
      </c>
      <c r="W34" s="140" t="s">
        <v>149</v>
      </c>
      <c r="X34" s="142">
        <v>310000</v>
      </c>
      <c r="AF34"/>
      <c r="AJ34" s="3"/>
    </row>
    <row r="35" spans="1:36" ht="19.5" customHeight="1" thickBot="1">
      <c r="A35" s="188" t="s">
        <v>10</v>
      </c>
      <c r="B35" s="249">
        <f t="shared" si="14"/>
        <v>0</v>
      </c>
      <c r="C35" s="249"/>
      <c r="D35" s="189">
        <f t="shared" si="15"/>
        <v>0</v>
      </c>
      <c r="E35" s="189">
        <f t="shared" si="16"/>
        <v>0</v>
      </c>
      <c r="F35" s="189">
        <f t="shared" si="17"/>
        <v>0</v>
      </c>
      <c r="G35" s="247"/>
      <c r="H35" s="189">
        <f t="shared" si="18"/>
        <v>0</v>
      </c>
      <c r="I35" s="189">
        <f t="shared" si="19"/>
        <v>0</v>
      </c>
      <c r="J35" s="189">
        <f t="shared" si="20"/>
        <v>0</v>
      </c>
      <c r="K35" s="247"/>
      <c r="L35" s="190">
        <f t="shared" si="21"/>
        <v>0</v>
      </c>
      <c r="M35" s="191">
        <f t="shared" si="22"/>
        <v>0</v>
      </c>
      <c r="N35" s="190">
        <f t="shared" si="23"/>
        <v>0</v>
      </c>
      <c r="O35" s="247"/>
      <c r="P35" s="192">
        <f t="shared" si="24"/>
        <v>0</v>
      </c>
      <c r="Q35" s="189">
        <f t="shared" si="25"/>
        <v>0</v>
      </c>
      <c r="R35" s="230"/>
      <c r="S35"/>
      <c r="T35" s="78">
        <v>0</v>
      </c>
      <c r="U35" s="79">
        <v>25000001</v>
      </c>
      <c r="V35" s="80"/>
      <c r="W35" s="136" t="s">
        <v>150</v>
      </c>
      <c r="X35" s="137">
        <v>570000</v>
      </c>
      <c r="AF35"/>
      <c r="AJ35" s="3"/>
    </row>
    <row r="36" spans="1:36" ht="19.5" customHeight="1">
      <c r="A36" s="186" t="s">
        <v>11</v>
      </c>
      <c r="B36" s="259">
        <f t="shared" si="14"/>
        <v>0</v>
      </c>
      <c r="C36" s="259"/>
      <c r="D36" s="179">
        <f t="shared" si="15"/>
        <v>0</v>
      </c>
      <c r="E36" s="179">
        <f t="shared" si="16"/>
        <v>0</v>
      </c>
      <c r="F36" s="179">
        <f t="shared" si="17"/>
        <v>0</v>
      </c>
      <c r="G36" s="247"/>
      <c r="H36" s="179">
        <f t="shared" si="18"/>
        <v>0</v>
      </c>
      <c r="I36" s="179">
        <f t="shared" si="19"/>
        <v>0</v>
      </c>
      <c r="J36" s="179">
        <f t="shared" si="20"/>
        <v>0</v>
      </c>
      <c r="K36" s="247"/>
      <c r="L36" s="177">
        <f t="shared" si="21"/>
        <v>0</v>
      </c>
      <c r="M36" s="193">
        <f t="shared" si="22"/>
        <v>0</v>
      </c>
      <c r="N36" s="177">
        <f t="shared" si="23"/>
        <v>0</v>
      </c>
      <c r="O36" s="247"/>
      <c r="P36" s="187">
        <f t="shared" si="24"/>
        <v>0</v>
      </c>
      <c r="Q36" s="179">
        <f t="shared" si="25"/>
        <v>0</v>
      </c>
      <c r="R36" s="230"/>
      <c r="T36" s="2"/>
      <c r="AF36"/>
      <c r="AG36" s="3"/>
    </row>
    <row r="37" spans="1:36" ht="19.5" customHeight="1">
      <c r="A37" s="188" t="s">
        <v>12</v>
      </c>
      <c r="B37" s="249">
        <f t="shared" si="14"/>
        <v>0</v>
      </c>
      <c r="C37" s="249"/>
      <c r="D37" s="189">
        <f t="shared" si="15"/>
        <v>0</v>
      </c>
      <c r="E37" s="189">
        <f t="shared" si="16"/>
        <v>0</v>
      </c>
      <c r="F37" s="189">
        <f t="shared" si="17"/>
        <v>0</v>
      </c>
      <c r="G37" s="247"/>
      <c r="H37" s="189">
        <f t="shared" si="18"/>
        <v>0</v>
      </c>
      <c r="I37" s="189">
        <f t="shared" si="19"/>
        <v>0</v>
      </c>
      <c r="J37" s="189">
        <f t="shared" si="20"/>
        <v>0</v>
      </c>
      <c r="K37" s="247"/>
      <c r="L37" s="190">
        <f t="shared" si="21"/>
        <v>0</v>
      </c>
      <c r="M37" s="189">
        <f t="shared" si="22"/>
        <v>0</v>
      </c>
      <c r="N37" s="190">
        <f t="shared" si="23"/>
        <v>0</v>
      </c>
      <c r="O37" s="247"/>
      <c r="P37" s="192">
        <f t="shared" si="24"/>
        <v>0</v>
      </c>
      <c r="Q37" s="189">
        <f t="shared" si="25"/>
        <v>0</v>
      </c>
      <c r="R37" s="230"/>
    </row>
    <row r="38" spans="1:36" ht="19.5" customHeight="1" thickBot="1">
      <c r="A38" s="194" t="s">
        <v>13</v>
      </c>
      <c r="B38" s="253">
        <f t="shared" si="14"/>
        <v>0</v>
      </c>
      <c r="C38" s="253"/>
      <c r="D38" s="195">
        <f t="shared" si="15"/>
        <v>0</v>
      </c>
      <c r="E38" s="196">
        <f t="shared" si="16"/>
        <v>0</v>
      </c>
      <c r="F38" s="195">
        <f t="shared" si="17"/>
        <v>0</v>
      </c>
      <c r="G38" s="248"/>
      <c r="H38" s="195">
        <f t="shared" si="18"/>
        <v>0</v>
      </c>
      <c r="I38" s="196">
        <f t="shared" si="19"/>
        <v>0</v>
      </c>
      <c r="J38" s="195">
        <f t="shared" si="20"/>
        <v>0</v>
      </c>
      <c r="K38" s="248"/>
      <c r="L38" s="197">
        <f t="shared" si="21"/>
        <v>0</v>
      </c>
      <c r="M38" s="197">
        <f>IF(B13=$T$9,ROUNDDOWN(K13*$X$28,0),0)</f>
        <v>0</v>
      </c>
      <c r="N38" s="197">
        <f t="shared" si="23"/>
        <v>0</v>
      </c>
      <c r="O38" s="248"/>
      <c r="P38" s="198">
        <f t="shared" si="24"/>
        <v>0</v>
      </c>
      <c r="Q38" s="177">
        <f t="shared" si="25"/>
        <v>0</v>
      </c>
      <c r="R38" s="231"/>
    </row>
    <row r="39" spans="1:36" ht="42" customHeight="1" thickTop="1" thickBot="1">
      <c r="A39" s="250" t="s">
        <v>48</v>
      </c>
      <c r="B39" s="251"/>
      <c r="C39" s="252"/>
      <c r="D39" s="232">
        <f>ROUNDDOWN(IF(SUM(D31:D38,E31:E38,F31:F38,G31)&gt;=Y26,Y26,SUM(D31:D38,E31:E38,F31:F38,G31)),-2)</f>
        <v>0</v>
      </c>
      <c r="E39" s="233"/>
      <c r="F39" s="233"/>
      <c r="G39" s="234"/>
      <c r="H39" s="232">
        <f>ROUNDDOWN(IF(SUM(H31:H38,I31:I38,J31:J38,K31:K38)&gt;=Y27,Y27,SUM(H31:H38,I31:I38,J31:J38,K31:K38)),-2)</f>
        <v>0</v>
      </c>
      <c r="I39" s="233"/>
      <c r="J39" s="233"/>
      <c r="K39" s="234"/>
      <c r="L39" s="232">
        <f>ROUNDDOWN(IF(SUM(L31:L38,M31:M38,N31:N38,O31)&gt;=Y28,Y28,SUM(L31:L38,M31:M38,N31:N38,O31)),-2)</f>
        <v>0</v>
      </c>
      <c r="M39" s="233"/>
      <c r="N39" s="233"/>
      <c r="O39" s="234"/>
      <c r="P39" s="232">
        <f>ROUNDDOWN(IF(SUM(P31:P38,Q31:Q38,R31)&gt;=Y29,Y29,SUM(P31:P38,Q31:Q38,R31)),-2)</f>
        <v>0</v>
      </c>
      <c r="Q39" s="233"/>
      <c r="R39" s="239"/>
    </row>
    <row r="40" spans="1:36" ht="25.5" customHeight="1">
      <c r="B40" t="s">
        <v>137</v>
      </c>
    </row>
    <row r="41" spans="1:36" ht="25.5" customHeight="1"/>
    <row r="42" spans="1:36" ht="20.25" customHeight="1"/>
    <row r="43" spans="1:36" ht="20.25" customHeight="1"/>
    <row r="44" spans="1:36" ht="20.25" customHeight="1"/>
  </sheetData>
  <sheetProtection algorithmName="SHA-512" hashValue="OIbGPrr6R+v71OgSSpCMoQZLP3JlrpCq/jqIX1aXlWldlQsE93WdzLGWsDYQe0vYQeFOIxA++xABhSE9pTHHPQ==" saltValue="Yat1KVdnRH58gElPA2u9Fg==" spinCount="100000" sheet="1" objects="1" scenarios="1"/>
  <mergeCells count="46">
    <mergeCell ref="X5:AB5"/>
    <mergeCell ref="J4:J5"/>
    <mergeCell ref="I4:I5"/>
    <mergeCell ref="B4:C5"/>
    <mergeCell ref="B11:C11"/>
    <mergeCell ref="M4:M5"/>
    <mergeCell ref="K4:K5"/>
    <mergeCell ref="D4:H4"/>
    <mergeCell ref="A4:A5"/>
    <mergeCell ref="A29:A30"/>
    <mergeCell ref="B31:C31"/>
    <mergeCell ref="B32:C32"/>
    <mergeCell ref="B33:C33"/>
    <mergeCell ref="B29:C30"/>
    <mergeCell ref="B7:C7"/>
    <mergeCell ref="B8:C8"/>
    <mergeCell ref="B9:C9"/>
    <mergeCell ref="B10:C10"/>
    <mergeCell ref="B6:C6"/>
    <mergeCell ref="B13:C13"/>
    <mergeCell ref="B12:C12"/>
    <mergeCell ref="B18:C18"/>
    <mergeCell ref="B19:C19"/>
    <mergeCell ref="B37:C37"/>
    <mergeCell ref="A39:C39"/>
    <mergeCell ref="G31:G38"/>
    <mergeCell ref="K31:K38"/>
    <mergeCell ref="B38:C38"/>
    <mergeCell ref="B36:C36"/>
    <mergeCell ref="B34:C34"/>
    <mergeCell ref="A2:K2"/>
    <mergeCell ref="P29:R29"/>
    <mergeCell ref="A23:R23"/>
    <mergeCell ref="R31:R38"/>
    <mergeCell ref="D39:G39"/>
    <mergeCell ref="D29:G29"/>
    <mergeCell ref="H29:K29"/>
    <mergeCell ref="H39:K39"/>
    <mergeCell ref="L29:O29"/>
    <mergeCell ref="L39:O39"/>
    <mergeCell ref="P39:R39"/>
    <mergeCell ref="A27:C27"/>
    <mergeCell ref="A26:C26"/>
    <mergeCell ref="A25:C25"/>
    <mergeCell ref="O31:O38"/>
    <mergeCell ref="B35:C35"/>
  </mergeCells>
  <phoneticPr fontId="2"/>
  <dataValidations count="3">
    <dataValidation type="list" allowBlank="1" showInputMessage="1" showErrorMessage="1" sqref="I6:I13" xr:uid="{00000000-0002-0000-0100-000000000000}">
      <formula1>$AK$6:$AK$8</formula1>
    </dataValidation>
    <dataValidation type="list" allowBlank="1" showInputMessage="1" showErrorMessage="1" sqref="B6:C6" xr:uid="{00000000-0002-0000-0100-000001000000}">
      <formula1>$T$6:$T$13</formula1>
    </dataValidation>
    <dataValidation type="list" allowBlank="1" showInputMessage="1" showErrorMessage="1" sqref="B7:C13" xr:uid="{00000000-0002-0000-0100-000002000000}">
      <formula1>$T$6:$T$11</formula1>
    </dataValidation>
  </dataValidations>
  <pageMargins left="0.51181102362204722" right="0.51181102362204722" top="0.74803149606299213" bottom="0.74803149606299213" header="0.31496062992125984" footer="0.31496062992125984"/>
  <pageSetup paperSize="9" scale="59" fitToWidth="0" orientation="landscape" r:id="rId1"/>
  <colBreaks count="1" manualBreakCount="1">
    <brk id="14" max="39"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C52"/>
  <sheetViews>
    <sheetView zoomScaleNormal="100" zoomScaleSheetLayoutView="90" workbookViewId="0">
      <selection activeCell="F11" sqref="F11"/>
    </sheetView>
  </sheetViews>
  <sheetFormatPr defaultColWidth="9" defaultRowHeight="18.75"/>
  <cols>
    <col min="1" max="1" width="3.625" customWidth="1"/>
    <col min="5" max="5" width="10.625" customWidth="1"/>
    <col min="6" max="6" width="27.125" customWidth="1"/>
    <col min="7" max="7" width="5.625" customWidth="1"/>
    <col min="8" max="8" width="2" customWidth="1"/>
    <col min="9" max="9" width="65" bestFit="1" customWidth="1"/>
    <col min="10" max="11" width="9" hidden="1" customWidth="1"/>
    <col min="12" max="12" width="4" hidden="1" customWidth="1"/>
    <col min="13" max="13" width="17.875" hidden="1" customWidth="1"/>
    <col min="14" max="14" width="13" hidden="1" customWidth="1"/>
    <col min="15" max="15" width="3.875" hidden="1" customWidth="1"/>
    <col min="16" max="16" width="12.125" hidden="1" customWidth="1"/>
    <col min="17" max="17" width="25.5" hidden="1" customWidth="1"/>
    <col min="18" max="18" width="9" hidden="1" customWidth="1"/>
    <col min="19" max="19" width="12" hidden="1" customWidth="1"/>
    <col min="20" max="20" width="10.875" hidden="1" customWidth="1"/>
    <col min="21" max="21" width="9" hidden="1" customWidth="1"/>
    <col min="22" max="22" width="10.75" hidden="1" customWidth="1"/>
    <col min="23" max="23" width="25.125" hidden="1" customWidth="1"/>
    <col min="24" max="25" width="9" hidden="1" customWidth="1"/>
    <col min="26" max="26" width="11.125" hidden="1" customWidth="1"/>
    <col min="27" max="27" width="9" hidden="1" customWidth="1"/>
    <col min="28" max="28" width="11.125" hidden="1" customWidth="1"/>
    <col min="29" max="29" width="24.75" hidden="1" customWidth="1"/>
    <col min="30" max="35" width="9" customWidth="1"/>
  </cols>
  <sheetData>
    <row r="1" spans="1:29" ht="27" customHeight="1">
      <c r="A1" s="225" t="s">
        <v>120</v>
      </c>
      <c r="B1" s="225"/>
      <c r="C1" s="225"/>
      <c r="D1" s="225"/>
      <c r="E1" s="225"/>
      <c r="F1" s="225"/>
      <c r="G1" s="225"/>
      <c r="H1" s="225"/>
      <c r="I1" s="225"/>
      <c r="L1" t="s">
        <v>58</v>
      </c>
    </row>
    <row r="2" spans="1:29" s="83" customFormat="1" ht="38.25" customHeight="1">
      <c r="A2" s="82"/>
      <c r="B2" s="299" t="s">
        <v>121</v>
      </c>
      <c r="C2" s="299"/>
      <c r="D2" s="299"/>
      <c r="E2" s="299"/>
      <c r="F2" s="299"/>
      <c r="G2" s="299"/>
      <c r="H2" s="299"/>
      <c r="I2" s="299"/>
    </row>
    <row r="3" spans="1:29" s="83" customFormat="1" ht="12.75" customHeight="1">
      <c r="A3" s="82"/>
      <c r="B3" s="84"/>
      <c r="C3" s="84"/>
      <c r="D3" s="84"/>
      <c r="E3" s="84"/>
      <c r="F3" s="84"/>
      <c r="G3" s="84"/>
      <c r="H3" s="84"/>
      <c r="I3" s="84"/>
    </row>
    <row r="4" spans="1:29" ht="21" customHeight="1">
      <c r="F4" s="172" t="s">
        <v>96</v>
      </c>
      <c r="L4" t="s">
        <v>59</v>
      </c>
    </row>
    <row r="5" spans="1:29">
      <c r="I5" s="85" t="s">
        <v>117</v>
      </c>
      <c r="M5" t="s">
        <v>60</v>
      </c>
      <c r="Q5" s="174">
        <f>収入→所得変換シート!F6</f>
        <v>0</v>
      </c>
      <c r="R5" t="s">
        <v>14</v>
      </c>
    </row>
    <row r="6" spans="1:29" ht="28.5" customHeight="1">
      <c r="B6" s="311" t="s">
        <v>159</v>
      </c>
      <c r="C6" s="312"/>
      <c r="D6" s="312"/>
      <c r="E6" s="313"/>
      <c r="F6" s="173"/>
      <c r="G6" s="86" t="s">
        <v>14</v>
      </c>
      <c r="I6" s="87" t="s">
        <v>127</v>
      </c>
      <c r="M6" t="s">
        <v>98</v>
      </c>
      <c r="Q6" s="56">
        <f>収入→所得変換シート!F7</f>
        <v>0</v>
      </c>
      <c r="S6" t="s">
        <v>61</v>
      </c>
      <c r="U6" t="s">
        <v>62</v>
      </c>
    </row>
    <row r="7" spans="1:29" ht="56.25">
      <c r="B7" s="311" t="s">
        <v>118</v>
      </c>
      <c r="C7" s="312"/>
      <c r="D7" s="312"/>
      <c r="E7" s="313"/>
      <c r="F7" s="300"/>
      <c r="G7" s="301"/>
      <c r="H7" s="88"/>
      <c r="I7" s="89" t="s">
        <v>160</v>
      </c>
      <c r="M7" t="s">
        <v>64</v>
      </c>
      <c r="Q7" s="56">
        <f>収入→所得変換シート!F8</f>
        <v>0</v>
      </c>
      <c r="S7" t="s">
        <v>65</v>
      </c>
      <c r="U7" t="s">
        <v>66</v>
      </c>
    </row>
    <row r="8" spans="1:29" ht="34.5" customHeight="1">
      <c r="B8" s="302" t="s">
        <v>119</v>
      </c>
      <c r="C8" s="302"/>
      <c r="D8" s="302"/>
      <c r="E8" s="302"/>
      <c r="F8" s="303"/>
      <c r="G8" s="303"/>
      <c r="H8" s="88"/>
      <c r="I8" s="87" t="s">
        <v>126</v>
      </c>
      <c r="U8" t="s">
        <v>67</v>
      </c>
    </row>
    <row r="9" spans="1:29" ht="10.5" customHeight="1" thickBot="1"/>
    <row r="10" spans="1:29" ht="28.5" hidden="1" customHeight="1" thickBot="1">
      <c r="B10" s="314" t="s">
        <v>63</v>
      </c>
      <c r="C10" s="315"/>
      <c r="D10" s="315"/>
      <c r="E10" s="316"/>
      <c r="F10" s="90">
        <f>収入→所得変換シート!T42</f>
        <v>0</v>
      </c>
      <c r="G10" s="86" t="s">
        <v>14</v>
      </c>
      <c r="M10" t="s">
        <v>68</v>
      </c>
    </row>
    <row r="11" spans="1:29" ht="28.5" customHeight="1" thickBot="1">
      <c r="B11" s="314" t="s">
        <v>122</v>
      </c>
      <c r="C11" s="315"/>
      <c r="D11" s="315"/>
      <c r="E11" s="317"/>
      <c r="F11" s="209">
        <f>収入→所得変換シート!N43</f>
        <v>0</v>
      </c>
      <c r="G11" s="91" t="s">
        <v>14</v>
      </c>
      <c r="I11" t="s">
        <v>116</v>
      </c>
      <c r="M11" t="str">
        <f>U6</f>
        <v>1,000万円以下</v>
      </c>
      <c r="S11" t="str">
        <f>U7</f>
        <v>1,000万円超2,000万円以下</v>
      </c>
      <c r="Y11" t="str">
        <f>U8</f>
        <v>2,000万円超</v>
      </c>
    </row>
    <row r="12" spans="1:29">
      <c r="M12" s="87" t="s">
        <v>69</v>
      </c>
      <c r="N12" s="308" t="s">
        <v>70</v>
      </c>
      <c r="O12" s="309"/>
      <c r="P12" s="310"/>
      <c r="Q12" s="87" t="s">
        <v>71</v>
      </c>
      <c r="S12" s="87" t="s">
        <v>69</v>
      </c>
      <c r="T12" s="308" t="s">
        <v>70</v>
      </c>
      <c r="U12" s="309"/>
      <c r="V12" s="310"/>
      <c r="W12" s="87" t="s">
        <v>71</v>
      </c>
      <c r="Y12" s="87" t="s">
        <v>69</v>
      </c>
      <c r="Z12" s="308" t="s">
        <v>70</v>
      </c>
      <c r="AA12" s="309"/>
      <c r="AB12" s="310"/>
      <c r="AC12" s="87" t="s">
        <v>71</v>
      </c>
    </row>
    <row r="13" spans="1:29" ht="20.100000000000001" customHeight="1">
      <c r="A13" s="58"/>
      <c r="B13" s="304" t="s">
        <v>131</v>
      </c>
      <c r="C13" s="304"/>
      <c r="D13" s="304"/>
      <c r="E13" s="304"/>
      <c r="F13" s="304"/>
      <c r="G13" s="304"/>
      <c r="H13" s="304"/>
      <c r="M13" s="305" t="s">
        <v>61</v>
      </c>
      <c r="N13" s="92">
        <v>1</v>
      </c>
      <c r="O13" s="93" t="s">
        <v>21</v>
      </c>
      <c r="P13" s="94">
        <v>3300000</v>
      </c>
      <c r="Q13" s="87" t="s">
        <v>72</v>
      </c>
      <c r="S13" s="305" t="s">
        <v>61</v>
      </c>
      <c r="T13" s="92">
        <v>1</v>
      </c>
      <c r="U13" s="93" t="s">
        <v>21</v>
      </c>
      <c r="V13" s="94">
        <v>3300000</v>
      </c>
      <c r="W13" s="87" t="s">
        <v>73</v>
      </c>
      <c r="Y13" s="305" t="s">
        <v>61</v>
      </c>
      <c r="Z13" s="92">
        <v>1</v>
      </c>
      <c r="AA13" s="93" t="s">
        <v>21</v>
      </c>
      <c r="AB13" s="94">
        <v>3300000</v>
      </c>
      <c r="AC13" s="87" t="s">
        <v>74</v>
      </c>
    </row>
    <row r="14" spans="1:29" ht="13.5" customHeight="1">
      <c r="A14" s="58"/>
      <c r="B14" s="95"/>
      <c r="C14" s="95"/>
      <c r="D14" s="95"/>
      <c r="E14" s="95"/>
      <c r="F14" s="95"/>
      <c r="G14" s="95"/>
      <c r="H14" s="95"/>
      <c r="M14" s="306"/>
      <c r="N14" s="92">
        <v>3300001</v>
      </c>
      <c r="O14" s="93" t="s">
        <v>21</v>
      </c>
      <c r="P14" s="94">
        <v>4100000</v>
      </c>
      <c r="Q14" s="87" t="s">
        <v>75</v>
      </c>
      <c r="S14" s="306"/>
      <c r="T14" s="92">
        <v>3300001</v>
      </c>
      <c r="U14" s="93" t="s">
        <v>21</v>
      </c>
      <c r="V14" s="94">
        <v>4100000</v>
      </c>
      <c r="W14" s="87" t="s">
        <v>76</v>
      </c>
      <c r="Y14" s="306"/>
      <c r="Z14" s="92">
        <v>3300001</v>
      </c>
      <c r="AA14" s="93" t="s">
        <v>21</v>
      </c>
      <c r="AB14" s="94">
        <v>4100000</v>
      </c>
      <c r="AC14" s="87" t="s">
        <v>77</v>
      </c>
    </row>
    <row r="15" spans="1:29" ht="18.75" customHeight="1">
      <c r="B15" s="95"/>
      <c r="C15" s="95"/>
      <c r="D15" s="95"/>
      <c r="E15" s="95"/>
      <c r="F15" s="95"/>
      <c r="G15" s="95"/>
      <c r="H15" s="95"/>
      <c r="M15" s="306"/>
      <c r="N15" s="92">
        <v>4100001</v>
      </c>
      <c r="O15" s="93" t="s">
        <v>21</v>
      </c>
      <c r="P15" s="94">
        <v>7700000</v>
      </c>
      <c r="Q15" s="87" t="s">
        <v>78</v>
      </c>
      <c r="S15" s="306"/>
      <c r="T15" s="92">
        <v>4100001</v>
      </c>
      <c r="U15" s="93" t="s">
        <v>21</v>
      </c>
      <c r="V15" s="94">
        <v>7700000</v>
      </c>
      <c r="W15" s="87" t="s">
        <v>79</v>
      </c>
      <c r="Y15" s="306"/>
      <c r="Z15" s="92">
        <v>4100001</v>
      </c>
      <c r="AA15" s="93" t="s">
        <v>21</v>
      </c>
      <c r="AB15" s="94">
        <v>7700000</v>
      </c>
      <c r="AC15" s="87" t="s">
        <v>80</v>
      </c>
    </row>
    <row r="16" spans="1:29" ht="20.100000000000001" customHeight="1">
      <c r="A16" s="58"/>
      <c r="B16" s="95"/>
      <c r="C16" s="95"/>
      <c r="D16" s="95"/>
      <c r="E16" s="95"/>
      <c r="F16" s="95"/>
      <c r="G16" s="95"/>
      <c r="H16" s="95"/>
      <c r="M16" s="306"/>
      <c r="N16" s="92">
        <v>7700001</v>
      </c>
      <c r="O16" s="93" t="s">
        <v>21</v>
      </c>
      <c r="P16" s="94">
        <v>10000000</v>
      </c>
      <c r="Q16" s="87" t="s">
        <v>81</v>
      </c>
      <c r="S16" s="306"/>
      <c r="T16" s="92">
        <v>7700001</v>
      </c>
      <c r="U16" s="93" t="s">
        <v>21</v>
      </c>
      <c r="V16" s="94">
        <v>10000000</v>
      </c>
      <c r="W16" s="87" t="s">
        <v>82</v>
      </c>
      <c r="Y16" s="306"/>
      <c r="Z16" s="92">
        <v>7700001</v>
      </c>
      <c r="AA16" s="93" t="s">
        <v>21</v>
      </c>
      <c r="AB16" s="94">
        <v>10000000</v>
      </c>
      <c r="AC16" s="87" t="s">
        <v>83</v>
      </c>
    </row>
    <row r="17" spans="1:29">
      <c r="M17" s="307"/>
      <c r="N17" s="92">
        <v>10000001</v>
      </c>
      <c r="O17" s="93" t="s">
        <v>21</v>
      </c>
      <c r="P17" s="94"/>
      <c r="Q17" s="87" t="s">
        <v>84</v>
      </c>
      <c r="S17" s="307"/>
      <c r="T17" s="92">
        <v>10000001</v>
      </c>
      <c r="U17" s="93" t="s">
        <v>21</v>
      </c>
      <c r="V17" s="94"/>
      <c r="W17" s="87" t="s">
        <v>85</v>
      </c>
      <c r="Y17" s="307"/>
      <c r="Z17" s="92">
        <v>10000001</v>
      </c>
      <c r="AA17" s="93" t="s">
        <v>21</v>
      </c>
      <c r="AB17" s="94"/>
      <c r="AC17" s="87" t="s">
        <v>86</v>
      </c>
    </row>
    <row r="18" spans="1:29" ht="28.5" customHeight="1">
      <c r="M18" s="296" t="s">
        <v>65</v>
      </c>
      <c r="N18" s="92">
        <v>1</v>
      </c>
      <c r="O18" s="93" t="s">
        <v>21</v>
      </c>
      <c r="P18" s="94">
        <v>1300000</v>
      </c>
      <c r="Q18" s="87" t="s">
        <v>87</v>
      </c>
      <c r="S18" s="296" t="s">
        <v>65</v>
      </c>
      <c r="T18" s="92">
        <v>1</v>
      </c>
      <c r="U18" s="93" t="s">
        <v>21</v>
      </c>
      <c r="V18" s="94">
        <v>1300000</v>
      </c>
      <c r="W18" s="87" t="s">
        <v>88</v>
      </c>
      <c r="Y18" s="296" t="s">
        <v>65</v>
      </c>
      <c r="Z18" s="92">
        <v>1</v>
      </c>
      <c r="AA18" s="93" t="s">
        <v>21</v>
      </c>
      <c r="AB18" s="94">
        <v>1300000</v>
      </c>
      <c r="AC18" s="87" t="s">
        <v>89</v>
      </c>
    </row>
    <row r="19" spans="1:29" ht="28.5" customHeight="1">
      <c r="M19" s="297"/>
      <c r="N19" s="92">
        <v>1300001</v>
      </c>
      <c r="O19" s="93" t="s">
        <v>21</v>
      </c>
      <c r="P19" s="94">
        <v>4100000</v>
      </c>
      <c r="Q19" s="87" t="s">
        <v>75</v>
      </c>
      <c r="S19" s="297"/>
      <c r="T19" s="92">
        <v>1300001</v>
      </c>
      <c r="U19" s="93" t="s">
        <v>21</v>
      </c>
      <c r="V19" s="94">
        <v>4100000</v>
      </c>
      <c r="W19" s="87" t="s">
        <v>76</v>
      </c>
      <c r="Y19" s="297"/>
      <c r="Z19" s="92">
        <v>1300001</v>
      </c>
      <c r="AA19" s="93" t="s">
        <v>21</v>
      </c>
      <c r="AB19" s="94">
        <v>4100000</v>
      </c>
      <c r="AC19" s="87" t="s">
        <v>77</v>
      </c>
    </row>
    <row r="20" spans="1:29">
      <c r="M20" s="297"/>
      <c r="N20" s="92">
        <v>4100001</v>
      </c>
      <c r="O20" s="93" t="s">
        <v>90</v>
      </c>
      <c r="P20" s="94">
        <v>7700000</v>
      </c>
      <c r="Q20" s="87" t="s">
        <v>78</v>
      </c>
      <c r="S20" s="297"/>
      <c r="T20" s="92">
        <v>4100001</v>
      </c>
      <c r="U20" s="93" t="s">
        <v>90</v>
      </c>
      <c r="V20" s="94">
        <v>7700000</v>
      </c>
      <c r="W20" s="87" t="s">
        <v>79</v>
      </c>
      <c r="Y20" s="297"/>
      <c r="Z20" s="92">
        <v>4100001</v>
      </c>
      <c r="AA20" s="93" t="s">
        <v>90</v>
      </c>
      <c r="AB20" s="94">
        <v>7700000</v>
      </c>
      <c r="AC20" s="87" t="s">
        <v>80</v>
      </c>
    </row>
    <row r="21" spans="1:29" ht="28.5" customHeight="1">
      <c r="M21" s="297"/>
      <c r="N21" s="92">
        <v>7700001</v>
      </c>
      <c r="O21" s="93" t="s">
        <v>90</v>
      </c>
      <c r="P21" s="94">
        <v>10000000</v>
      </c>
      <c r="Q21" s="87" t="s">
        <v>81</v>
      </c>
      <c r="S21" s="297"/>
      <c r="T21" s="92">
        <v>7700001</v>
      </c>
      <c r="U21" s="93" t="s">
        <v>90</v>
      </c>
      <c r="V21" s="94">
        <v>10000000</v>
      </c>
      <c r="W21" s="87" t="s">
        <v>82</v>
      </c>
      <c r="Y21" s="297"/>
      <c r="Z21" s="92">
        <v>7700001</v>
      </c>
      <c r="AA21" s="93" t="s">
        <v>90</v>
      </c>
      <c r="AB21" s="94">
        <v>10000000</v>
      </c>
      <c r="AC21" s="87" t="s">
        <v>83</v>
      </c>
    </row>
    <row r="22" spans="1:29" ht="28.5" customHeight="1">
      <c r="M22" s="298"/>
      <c r="N22" s="92">
        <v>10000001</v>
      </c>
      <c r="O22" s="93" t="s">
        <v>21</v>
      </c>
      <c r="P22" s="94"/>
      <c r="Q22" s="87" t="s">
        <v>84</v>
      </c>
      <c r="S22" s="298"/>
      <c r="T22" s="92">
        <v>10000001</v>
      </c>
      <c r="U22" s="93" t="s">
        <v>21</v>
      </c>
      <c r="V22" s="94"/>
      <c r="W22" s="87" t="s">
        <v>85</v>
      </c>
      <c r="Y22" s="298"/>
      <c r="Z22" s="92">
        <v>10000001</v>
      </c>
      <c r="AA22" s="93" t="s">
        <v>21</v>
      </c>
      <c r="AB22" s="94"/>
      <c r="AC22" s="87" t="s">
        <v>86</v>
      </c>
    </row>
    <row r="24" spans="1:29" ht="20.25" customHeight="1">
      <c r="M24" t="s">
        <v>91</v>
      </c>
    </row>
    <row r="25" spans="1:29">
      <c r="M25" t="s">
        <v>92</v>
      </c>
    </row>
    <row r="26" spans="1:29" ht="20.100000000000001" customHeight="1">
      <c r="A26" s="58"/>
      <c r="M26" t="s">
        <v>93</v>
      </c>
    </row>
    <row r="27" spans="1:29" ht="20.100000000000001" customHeight="1">
      <c r="A27" s="58"/>
    </row>
    <row r="28" spans="1:29" ht="14.25" customHeight="1">
      <c r="A28" s="58"/>
      <c r="M28" t="s">
        <v>94</v>
      </c>
    </row>
    <row r="30" spans="1:29">
      <c r="M30" s="96"/>
      <c r="N30" s="97" t="str">
        <f>U6</f>
        <v>1,000万円以下</v>
      </c>
      <c r="O30" s="97"/>
      <c r="P30" s="97"/>
      <c r="Q30" s="97" t="str">
        <f>U7</f>
        <v>1,000万円超2,000万円以下</v>
      </c>
      <c r="R30" s="97"/>
      <c r="S30" s="98" t="str">
        <f>U8</f>
        <v>2,000万円超</v>
      </c>
      <c r="T30" s="2"/>
      <c r="U30" s="2"/>
    </row>
    <row r="31" spans="1:29">
      <c r="M31" s="99" t="s">
        <v>61</v>
      </c>
      <c r="N31" s="100">
        <f>IF(AND($Q$6=$S$6,$Q$7=$U$6,$Q$5&gt;=N13,$Q$5&lt;=P13),1100000,0)</f>
        <v>0</v>
      </c>
      <c r="O31" s="100"/>
      <c r="P31" s="100"/>
      <c r="Q31" s="100">
        <f>IF(AND($Q$6=$S$6,$Q$7=$U$7,$Q$5&gt;=T13,$Q$5&lt;=V13),1000000,0)</f>
        <v>0</v>
      </c>
      <c r="R31" s="100"/>
      <c r="S31" s="101">
        <f>IF(AND($Q$6=$S$6,$Q$7=$U$8,$Q$5&gt;=Z13,$Q$5&lt;=AB13),900000,0)</f>
        <v>0</v>
      </c>
      <c r="T31" s="2"/>
      <c r="U31" s="2"/>
    </row>
    <row r="32" spans="1:29">
      <c r="K32" s="102"/>
      <c r="M32" s="99"/>
      <c r="N32" s="100">
        <f>IF(AND($Q$6=$S$6,$Q$7=$U$6,$Q$5&gt;=N14,$Q$5&lt;=P14),ROUNDUP($Q$5*0.25+275000,0),0)</f>
        <v>0</v>
      </c>
      <c r="O32" s="100"/>
      <c r="P32" s="100"/>
      <c r="Q32" s="100">
        <f>IF(AND($Q$6=$S$6,$Q$7=$U$7,$Q$5&gt;=T14,$Q$5&lt;=V14),ROUNDUP($Q$5*0.25+175000,0),0)</f>
        <v>0</v>
      </c>
      <c r="R32" s="100"/>
      <c r="S32" s="101">
        <f>IF(AND($Q$6=$S$6,$Q$7=$U$8,$Q$5&gt;=Z14,$Q$5&lt;=AB14),ROUNDUP($Q$5*0.25+75000,0),0)</f>
        <v>0</v>
      </c>
      <c r="T32" s="2"/>
      <c r="U32" s="2"/>
    </row>
    <row r="33" spans="13:21">
      <c r="M33" s="99"/>
      <c r="N33" s="100">
        <f>IF(AND($Q$6=$S$6,$Q$7=$U$6,$Q$5&gt;=N15,$Q$5&lt;=P15),ROUNDUP($Q$5*0.15+685000,0),0)</f>
        <v>0</v>
      </c>
      <c r="O33" s="100"/>
      <c r="P33" s="100"/>
      <c r="Q33" s="100">
        <f>IF(AND($Q$6=$S$6,$Q$7=$U$7,$Q$5&gt;=T15,$Q$5&lt;=V15),ROUNDUP($Q$5*0.15+585000,0),0)</f>
        <v>0</v>
      </c>
      <c r="R33" s="100"/>
      <c r="S33" s="101">
        <f>IF(AND($Q$6=$S$6,$Q$7=$U$8,$Q$5&gt;=Z15,$Q$5&lt;=AB15),ROUNDUP($Q$5*0.15+485000,0),0)</f>
        <v>0</v>
      </c>
      <c r="T33" s="2"/>
      <c r="U33" s="2"/>
    </row>
    <row r="34" spans="13:21">
      <c r="M34" s="99"/>
      <c r="N34" s="100">
        <f>IF(AND($Q$6=$S$6,$Q$7=$U$6,$Q$5&gt;=N16,$Q$5&lt;=P16),ROUNDUP($Q$5*0.05+1455000,0),0)</f>
        <v>0</v>
      </c>
      <c r="O34" s="100"/>
      <c r="P34" s="100"/>
      <c r="Q34" s="100">
        <f>IF(AND($Q$6=$S$6,$Q$7=$U$7,$Q$5&gt;=T16,$Q$5&lt;=V16),ROUNDUP($Q$5*0.05+1355000,0),0)</f>
        <v>0</v>
      </c>
      <c r="R34" s="100"/>
      <c r="S34" s="101">
        <f>IF(AND($Q$6=$S$6,$Q$7=$U$8,$Q$5&gt;=Z16,$Q$5&lt;=AB16),ROUNDUP($Q$5*0.05+1255000,0),0)</f>
        <v>0</v>
      </c>
      <c r="T34" s="2"/>
      <c r="U34" s="2"/>
    </row>
    <row r="35" spans="13:21">
      <c r="M35" s="103"/>
      <c r="N35" s="104">
        <f>IF(AND($Q$6=$S$6,$Q$7=$U$6,$Q$5&gt;=N17),1955000,0)</f>
        <v>0</v>
      </c>
      <c r="O35" s="104"/>
      <c r="P35" s="104"/>
      <c r="Q35" s="104">
        <f>IF(AND($Q$6=$S$6,$Q$7=$U$7,$Q$5&gt;=T17),1855000,0)</f>
        <v>0</v>
      </c>
      <c r="R35" s="104"/>
      <c r="S35" s="105">
        <f>IF(AND($Q$6=$S$6,$Q$7=$U$8,$Q$5&gt;=Z17),1755000,0)</f>
        <v>0</v>
      </c>
      <c r="T35" s="2"/>
      <c r="U35" s="2"/>
    </row>
    <row r="36" spans="13:21">
      <c r="M36" s="96" t="s">
        <v>65</v>
      </c>
      <c r="N36" s="97">
        <f>IF(AND($Q$6=$S$7,$Q$7=$U$6,$Q$5&gt;=N18,$Q$5&lt;=P18),600000,0)</f>
        <v>0</v>
      </c>
      <c r="O36" s="97"/>
      <c r="P36" s="97"/>
      <c r="Q36" s="97">
        <f>IF(AND($Q$6=$S$7,$Q$7=$U$7,$Q$5&gt;=T18,$Q$5&lt;=V18),500000,0)</f>
        <v>0</v>
      </c>
      <c r="R36" s="97"/>
      <c r="S36" s="98">
        <f>IF(AND($Q$6=$S$7,$Q$7=$U$8,$Q$5&gt;=Z18,$Q$5&lt;=AB18),400000,0)</f>
        <v>0</v>
      </c>
      <c r="T36" s="2"/>
      <c r="U36" s="2"/>
    </row>
    <row r="37" spans="13:21">
      <c r="M37" s="99"/>
      <c r="N37" s="100">
        <f>IF(AND($Q$6=$S$7,$Q$7=$U$6,$Q$5&gt;=N19,$Q$5&lt;=P19),ROUNDUP($Q$5*0.25+275000,0),0)</f>
        <v>0</v>
      </c>
      <c r="O37" s="100"/>
      <c r="P37" s="100"/>
      <c r="Q37" s="100">
        <f>IF(AND($Q$6=$S$7,$Q$7=$U$7,$Q$5&gt;=T19,$Q$5&lt;=V19),ROUNDUP($Q$5*0.25+175000,0),0)</f>
        <v>0</v>
      </c>
      <c r="R37" s="100"/>
      <c r="S37" s="101">
        <f>IF(AND($Q$6=$S$7,$Q$7=$U$8,$Q$5&gt;=Z19,$Q$5&lt;=AB19),ROUNDUP($Q$5*0.25+75000,0),0)</f>
        <v>0</v>
      </c>
      <c r="T37" s="2"/>
      <c r="U37" s="2"/>
    </row>
    <row r="38" spans="13:21">
      <c r="M38" s="99"/>
      <c r="N38" s="100">
        <f>IF(AND($Q$6=$S$7,$Q$7=$U$6,$Q$5&gt;=N20,$Q$5&lt;=P20),ROUNDUP($Q$5*0.15+685000,0),0)</f>
        <v>0</v>
      </c>
      <c r="O38" s="100"/>
      <c r="P38" s="100"/>
      <c r="Q38" s="100">
        <f>IF(AND($Q$6=$S$7,$Q$7=$U$7,$Q$5&gt;=T20,$Q$5&lt;=V20),ROUNDUP($Q$5*0.15+585000,0),0)</f>
        <v>0</v>
      </c>
      <c r="R38" s="100"/>
      <c r="S38" s="101">
        <f>IF(AND($Q$6=$S$7,$Q$7=$U$8,$Q$5&gt;=Z20,$Q$5&lt;=AB20),ROUNDUP($Q$5*0.15+485000,0),0)</f>
        <v>0</v>
      </c>
      <c r="T38" s="2"/>
      <c r="U38" s="2"/>
    </row>
    <row r="39" spans="13:21">
      <c r="M39" s="99"/>
      <c r="N39" s="100">
        <f>IF(AND($Q$6=$S$7,$Q$7=$U$6,$Q$5&gt;=N21,$Q$5&lt;=P21),ROUNDUP($Q$5*0.05+1455000,0),0)</f>
        <v>0</v>
      </c>
      <c r="O39" s="100"/>
      <c r="P39" s="100"/>
      <c r="Q39" s="100">
        <f>IF(AND($Q$6=$S$7,$Q$7=$U$7,$Q$5&gt;=T21,$Q$5&lt;=V21),ROUNDUP($Q$5*0.05+1355000,0),0)</f>
        <v>0</v>
      </c>
      <c r="R39" s="100"/>
      <c r="S39" s="101">
        <f>IF(AND($Q$6=$S$7,$Q$7=$U$8,$Q$5&gt;=Z21,$Q$5&lt;=AB21),ROUNDUP($Q$5*0.05+1255000,0),0)</f>
        <v>0</v>
      </c>
      <c r="T39" s="2"/>
      <c r="U39" s="2"/>
    </row>
    <row r="40" spans="13:21">
      <c r="M40" s="99"/>
      <c r="N40" s="100">
        <f>IF(AND($Q$6=$S$7,$Q$7=$U$6,$Q$5&gt;=N22),1955000,0)</f>
        <v>0</v>
      </c>
      <c r="O40" s="100"/>
      <c r="P40" s="100"/>
      <c r="Q40" s="100">
        <f>IF(AND($Q$6=$S$7,$Q$7=$U$7,$Q$5&gt;=T22),1855000,0)</f>
        <v>0</v>
      </c>
      <c r="R40" s="100"/>
      <c r="S40" s="101">
        <f>IF(AND($Q$6=$S$7,$Q$7=$U$8,$Q$5&gt;=Z22),1755000,0)</f>
        <v>0</v>
      </c>
      <c r="T40" s="2"/>
      <c r="U40" s="2"/>
    </row>
    <row r="41" spans="13:21" ht="19.5" thickBot="1">
      <c r="M41" s="103"/>
      <c r="N41" s="104"/>
      <c r="O41" s="104"/>
      <c r="P41" s="104"/>
      <c r="Q41" s="104"/>
      <c r="R41" s="104"/>
      <c r="S41" s="105"/>
      <c r="T41" s="2"/>
      <c r="U41" s="2"/>
    </row>
    <row r="42" spans="13:21" ht="19.5" thickBot="1">
      <c r="M42" s="106" t="s">
        <v>63</v>
      </c>
      <c r="N42" s="107">
        <f>SUM(N31:N41)</f>
        <v>0</v>
      </c>
      <c r="O42" s="108"/>
      <c r="P42" s="108"/>
      <c r="Q42" s="108">
        <f>SUM(Q31:Q41)</f>
        <v>0</v>
      </c>
      <c r="R42" s="108"/>
      <c r="S42" s="109">
        <f>SUM(S31:S41)</f>
        <v>0</v>
      </c>
      <c r="T42" s="110">
        <f>SUM(N42:S42)</f>
        <v>0</v>
      </c>
    </row>
    <row r="43" spans="13:21" ht="38.25" thickBot="1">
      <c r="M43" s="111" t="s">
        <v>95</v>
      </c>
      <c r="N43" s="112">
        <f>MAX($Q$5-T42,0)</f>
        <v>0</v>
      </c>
      <c r="O43" s="113"/>
      <c r="P43" s="114"/>
      <c r="Q43" s="114"/>
      <c r="R43" s="114"/>
      <c r="S43" s="114"/>
      <c r="T43" s="2"/>
      <c r="U43" s="2"/>
    </row>
    <row r="44" spans="13:21">
      <c r="N44" s="2"/>
      <c r="O44" s="2"/>
      <c r="P44" s="2"/>
      <c r="Q44" s="2"/>
      <c r="R44" s="2"/>
      <c r="S44" s="2"/>
      <c r="T44" s="2"/>
      <c r="U44" s="2"/>
    </row>
    <row r="52" spans="17:17">
      <c r="Q52" s="115"/>
    </row>
  </sheetData>
  <sheetProtection algorithmName="SHA-512" hashValue="Ohukj4mImWuZu9r0sTytim4xCftQ3TEa6OAJEZCZPj3UFdg+SEgd5dtwE4EEgfwESFoM7HaNrXIXYDeNN47C8g==" saltValue="/Sfp+czQS/ZaKUXvNfxqsQ==" spinCount="100000" sheet="1" objects="1" scenarios="1"/>
  <mergeCells count="19">
    <mergeCell ref="Z12:AB12"/>
    <mergeCell ref="N12:P12"/>
    <mergeCell ref="T12:V12"/>
    <mergeCell ref="B6:E6"/>
    <mergeCell ref="B7:E7"/>
    <mergeCell ref="B10:E10"/>
    <mergeCell ref="B11:E11"/>
    <mergeCell ref="M18:M22"/>
    <mergeCell ref="S18:S22"/>
    <mergeCell ref="Y18:Y22"/>
    <mergeCell ref="A1:I1"/>
    <mergeCell ref="B2:I2"/>
    <mergeCell ref="F7:G7"/>
    <mergeCell ref="B8:E8"/>
    <mergeCell ref="F8:G8"/>
    <mergeCell ref="B13:H13"/>
    <mergeCell ref="M13:M17"/>
    <mergeCell ref="S13:S17"/>
    <mergeCell ref="Y13:Y17"/>
  </mergeCells>
  <phoneticPr fontId="2"/>
  <dataValidations count="2">
    <dataValidation type="list" allowBlank="1" showInputMessage="1" showErrorMessage="1" sqref="F8:H8" xr:uid="{00000000-0002-0000-0200-000000000000}">
      <formula1>$U$6:$U$8</formula1>
    </dataValidation>
    <dataValidation type="list" allowBlank="1" showInputMessage="1" showErrorMessage="1" sqref="F7" xr:uid="{00000000-0002-0000-0200-000001000000}">
      <formula1>$S$6:$S$7</formula1>
    </dataValidation>
  </dataValidations>
  <pageMargins left="0.7" right="0.48" top="0.73" bottom="0.47" header="0.3" footer="0.3"/>
  <pageSetup paperSize="9" scale="59"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「試算用入力フォーム」の入力方法</vt:lpstr>
      <vt:lpstr>試算</vt:lpstr>
      <vt:lpstr>収入→所得変換シート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成瀬 雅子</dc:creator>
  <cp:lastModifiedBy>窪田夏美</cp:lastModifiedBy>
  <cp:lastPrinted>2026-03-26T09:18:32Z</cp:lastPrinted>
  <dcterms:created xsi:type="dcterms:W3CDTF">2021-03-01T05:34:53Z</dcterms:created>
  <dcterms:modified xsi:type="dcterms:W3CDTF">2026-07-02T00:04:40Z</dcterms:modified>
</cp:coreProperties>
</file>